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karl.pitz\Desktop\04_CC\"/>
    </mc:Choice>
  </mc:AlternateContent>
  <xr:revisionPtr revIDLastSave="0" documentId="13_ncr:1_{81FFD1A8-6E8D-4B0A-922E-A5EFD9A10E36}" xr6:coauthVersionLast="47" xr6:coauthVersionMax="47" xr10:uidLastSave="{00000000-0000-0000-0000-000000000000}"/>
  <workbookProtection workbookAlgorithmName="SHA-512" workbookHashValue="OF3RpyG0cj49XLP1CNjZN+gWBcGoDPLVejgmAr/bqYXW+wk0jK2IXsH0doBlt5F7jwHUs1SQ7vA7xwPKc6QnUg==" workbookSaltValue="1bIw4YwkC6hRnxqWWihZFA==" workbookSpinCount="100000" lockStructure="1"/>
  <bookViews>
    <workbookView xWindow="-120" yWindow="-16320" windowWidth="29040" windowHeight="15720" tabRatio="832" firstSheet="1" activeTab="1" xr2:uid="{9E991CB8-1B43-40D1-B300-4A58BF2E76C4}"/>
  </bookViews>
  <sheets>
    <sheet name="Topics" sheetId="1" state="hidden" r:id="rId1"/>
    <sheet name="Anleitung" sheetId="23" r:id="rId2"/>
    <sheet name="Ergebnis Health-Check" sheetId="15" r:id="rId3"/>
    <sheet name="Eingabe &gt;" sheetId="2" r:id="rId4"/>
    <sheet name="Allgemeine Angaben" sheetId="3" r:id="rId5"/>
    <sheet name="Eingabe Werte" sheetId="17" r:id="rId6"/>
    <sheet name="Relevanz-Gewichtung-Parameter" sheetId="4" r:id="rId7"/>
    <sheet name="Gewichtung" sheetId="22" state="hidden" r:id="rId8"/>
    <sheet name="Branchen" sheetId="21" state="hidden" r:id="rId9"/>
    <sheet name="Meta" sheetId="19" state="hidden" r:id="rId10"/>
    <sheet name="Liste" sheetId="20" state="hidden" r:id="rId11"/>
  </sheets>
  <definedNames>
    <definedName name="_xlnm.Print_Area" localSheetId="4">'Allgemeine Angaben'!$A$1:$F$35</definedName>
    <definedName name="_xlnm.Print_Area" localSheetId="1">Anleitung!$A$1:$T$30</definedName>
    <definedName name="_xlnm.Print_Area" localSheetId="2">'Ergebnis Health-Check'!$A$1:$M$26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3" i="4" l="1"/>
  <c r="C30" i="4" l="1"/>
  <c r="C18" i="19"/>
  <c r="AC18" i="19"/>
  <c r="AA18" i="19"/>
  <c r="Y18" i="19"/>
  <c r="W18" i="19"/>
  <c r="J18" i="19" s="1"/>
  <c r="U18" i="19"/>
  <c r="AF18" i="19" s="1"/>
  <c r="T18" i="19"/>
  <c r="AE18" i="19" s="1"/>
  <c r="R18" i="19"/>
  <c r="S18" i="19" s="1"/>
  <c r="AD18" i="19" s="1"/>
  <c r="P18" i="19"/>
  <c r="Q18" i="19" s="1"/>
  <c r="AB18" i="19" s="1"/>
  <c r="N18" i="19"/>
  <c r="O18" i="19" s="1"/>
  <c r="Z18" i="19" s="1"/>
  <c r="AH18" i="19"/>
  <c r="C12" i="4"/>
  <c r="C10" i="19"/>
  <c r="AH10" i="19" s="1"/>
  <c r="AC10" i="19"/>
  <c r="AA10" i="19"/>
  <c r="U10" i="19"/>
  <c r="AF10" i="19" s="1"/>
  <c r="T10" i="19"/>
  <c r="AE10" i="19" s="1"/>
  <c r="R10" i="19"/>
  <c r="S10" i="19" s="1"/>
  <c r="AD10" i="19" s="1"/>
  <c r="P10" i="19"/>
  <c r="Q10" i="19" s="1"/>
  <c r="AB10" i="19" s="1"/>
  <c r="N10" i="19"/>
  <c r="O10" i="19" s="1"/>
  <c r="C20" i="4"/>
  <c r="C14" i="19"/>
  <c r="AH14" i="19" s="1"/>
  <c r="Y14" i="19"/>
  <c r="U14" i="19"/>
  <c r="AF14" i="19" s="1"/>
  <c r="T14" i="19"/>
  <c r="AE14" i="19" s="1"/>
  <c r="R14" i="19"/>
  <c r="S14" i="19" s="1"/>
  <c r="AD14" i="19" s="1"/>
  <c r="P14" i="19"/>
  <c r="Q14" i="19" s="1"/>
  <c r="AB14" i="19" s="1"/>
  <c r="N14" i="19"/>
  <c r="O14" i="19" s="1"/>
  <c r="Z14" i="19" s="1"/>
  <c r="Y10" i="19" l="1"/>
  <c r="Z10" i="19"/>
  <c r="W10" i="19"/>
  <c r="J10" i="19" s="1"/>
  <c r="AA14" i="19"/>
  <c r="AC14" i="19"/>
  <c r="W14" i="19"/>
  <c r="J14" i="19" s="1"/>
  <c r="H86" i="4" l="1"/>
  <c r="H89" i="4"/>
  <c r="H87" i="4"/>
  <c r="H85" i="4"/>
  <c r="H83" i="4"/>
  <c r="H81" i="4"/>
  <c r="H79" i="4"/>
  <c r="H77" i="4"/>
  <c r="H75" i="4"/>
  <c r="H73" i="4"/>
  <c r="I59" i="4"/>
  <c r="D60" i="22" s="1"/>
  <c r="I57" i="4"/>
  <c r="D58" i="22" s="1"/>
  <c r="I16" i="4"/>
  <c r="D17" i="22" s="1"/>
  <c r="I14" i="4"/>
  <c r="D14" i="22" s="1"/>
  <c r="I10" i="4"/>
  <c r="D8" i="22" s="1"/>
  <c r="I12" i="4"/>
  <c r="D11" i="22" s="1"/>
  <c r="J111" i="22"/>
  <c r="J110" i="22"/>
  <c r="J109" i="22"/>
  <c r="J108" i="22"/>
  <c r="J107" i="22"/>
  <c r="J106" i="22"/>
  <c r="J105" i="22"/>
  <c r="J104" i="22"/>
  <c r="J103" i="22"/>
  <c r="J102" i="22"/>
  <c r="J101" i="22"/>
  <c r="J100" i="22"/>
  <c r="J99" i="22"/>
  <c r="J98" i="22"/>
  <c r="J90" i="22"/>
  <c r="J89" i="22"/>
  <c r="J88" i="22"/>
  <c r="J87" i="22"/>
  <c r="J86" i="22"/>
  <c r="J85" i="22"/>
  <c r="J84" i="22"/>
  <c r="J83" i="22"/>
  <c r="J82" i="22"/>
  <c r="J81" i="22"/>
  <c r="J80" i="22"/>
  <c r="J79" i="22"/>
  <c r="J78" i="22"/>
  <c r="J77" i="22"/>
  <c r="J76" i="22"/>
  <c r="J75" i="22"/>
  <c r="J74" i="22"/>
  <c r="J66" i="22"/>
  <c r="J65" i="22"/>
  <c r="J64" i="22"/>
  <c r="J63" i="22"/>
  <c r="J62" i="22"/>
  <c r="J61" i="22"/>
  <c r="J60" i="22"/>
  <c r="J59" i="22"/>
  <c r="J58" i="22"/>
  <c r="J57" i="22"/>
  <c r="J56" i="22"/>
  <c r="J55" i="22"/>
  <c r="J54" i="22"/>
  <c r="J46" i="22"/>
  <c r="J45" i="22"/>
  <c r="J44" i="22"/>
  <c r="J43" i="22"/>
  <c r="J35" i="22"/>
  <c r="J34" i="22"/>
  <c r="J33" i="22"/>
  <c r="J32" i="22"/>
  <c r="J31" i="22"/>
  <c r="J30" i="22"/>
  <c r="J23" i="22"/>
  <c r="J22" i="22"/>
  <c r="H22" i="22"/>
  <c r="J21" i="22"/>
  <c r="J20" i="22"/>
  <c r="H20" i="22"/>
  <c r="J19" i="22"/>
  <c r="J18" i="22"/>
  <c r="H18" i="22"/>
  <c r="J17" i="22"/>
  <c r="J16" i="22"/>
  <c r="H16" i="22"/>
  <c r="J15" i="22"/>
  <c r="H15" i="22"/>
  <c r="J14" i="22"/>
  <c r="J13" i="22"/>
  <c r="H13" i="22"/>
  <c r="J12" i="22"/>
  <c r="H12" i="22"/>
  <c r="J11" i="22"/>
  <c r="J10" i="22"/>
  <c r="H10" i="22"/>
  <c r="J9" i="22"/>
  <c r="H9" i="22"/>
  <c r="J8" i="22"/>
  <c r="J7" i="22"/>
  <c r="H7" i="22"/>
  <c r="J6" i="22"/>
  <c r="C97" i="4"/>
  <c r="I97" i="4"/>
  <c r="D98" i="22" s="1"/>
  <c r="C98" i="4"/>
  <c r="I98" i="4"/>
  <c r="D99" i="22" s="1"/>
  <c r="C100" i="4"/>
  <c r="I100" i="4"/>
  <c r="D101" i="22" s="1"/>
  <c r="C101" i="4"/>
  <c r="I101" i="4"/>
  <c r="D102" i="22" s="1"/>
  <c r="C102" i="4"/>
  <c r="I102" i="4"/>
  <c r="D103" i="22" s="1"/>
  <c r="C103" i="4"/>
  <c r="I103" i="4"/>
  <c r="D104" i="22" s="1"/>
  <c r="C105" i="4"/>
  <c r="I105" i="4"/>
  <c r="D106" i="22" s="1"/>
  <c r="C106" i="4"/>
  <c r="I106" i="4"/>
  <c r="D107" i="22" s="1"/>
  <c r="I108" i="4"/>
  <c r="C52" i="19" s="1"/>
  <c r="I110" i="4"/>
  <c r="C53" i="19" s="1"/>
  <c r="C73" i="4"/>
  <c r="I73" i="4"/>
  <c r="D74" i="22" s="1"/>
  <c r="C75" i="4"/>
  <c r="I75" i="4"/>
  <c r="D76" i="22" s="1"/>
  <c r="C77" i="4"/>
  <c r="I77" i="4"/>
  <c r="D78" i="22" s="1"/>
  <c r="C79" i="4"/>
  <c r="I79" i="4"/>
  <c r="D80" i="22" s="1"/>
  <c r="C81" i="4"/>
  <c r="I81" i="4"/>
  <c r="D82" i="22" s="1"/>
  <c r="C83" i="4"/>
  <c r="I83" i="4"/>
  <c r="D84" i="22" s="1"/>
  <c r="C85" i="4"/>
  <c r="I85" i="4"/>
  <c r="D86" i="22" s="1"/>
  <c r="C86" i="4"/>
  <c r="I86" i="4"/>
  <c r="D87" i="22" s="1"/>
  <c r="C87" i="4"/>
  <c r="I87" i="4"/>
  <c r="D88" i="22" s="1"/>
  <c r="C89" i="4"/>
  <c r="I89" i="4"/>
  <c r="D90" i="22" s="1"/>
  <c r="C53" i="4"/>
  <c r="D54" i="22"/>
  <c r="C55" i="4"/>
  <c r="I55" i="4"/>
  <c r="D56" i="22" s="1"/>
  <c r="C57" i="4"/>
  <c r="C59" i="4"/>
  <c r="C61" i="4"/>
  <c r="I61" i="4"/>
  <c r="D62" i="22" s="1"/>
  <c r="C63" i="4"/>
  <c r="I63" i="4"/>
  <c r="D64" i="22" s="1"/>
  <c r="C65" i="4"/>
  <c r="I65" i="4"/>
  <c r="D66" i="22" s="1"/>
  <c r="C42" i="4"/>
  <c r="E42" i="4"/>
  <c r="I43" i="4"/>
  <c r="D44" i="22" s="1"/>
  <c r="I44" i="4"/>
  <c r="D45" i="22" s="1"/>
  <c r="I45" i="4"/>
  <c r="D46" i="22" s="1"/>
  <c r="C29" i="4"/>
  <c r="I29" i="4"/>
  <c r="D30" i="22" s="1"/>
  <c r="I30" i="4"/>
  <c r="D31" i="22" s="1"/>
  <c r="C32" i="4"/>
  <c r="I32" i="4"/>
  <c r="D33" i="22" s="1"/>
  <c r="C34" i="4"/>
  <c r="I34" i="4"/>
  <c r="D35" i="22" s="1"/>
  <c r="U53" i="19"/>
  <c r="AF53" i="19" s="1"/>
  <c r="T53" i="19"/>
  <c r="AE53" i="19" s="1"/>
  <c r="R53" i="19"/>
  <c r="AC53" i="19" s="1"/>
  <c r="P53" i="19"/>
  <c r="Q53" i="19" s="1"/>
  <c r="AB53" i="19" s="1"/>
  <c r="N53" i="19"/>
  <c r="O53" i="19" s="1"/>
  <c r="Z53" i="19" s="1"/>
  <c r="U52" i="19"/>
  <c r="AF52" i="19" s="1"/>
  <c r="T52" i="19"/>
  <c r="AE52" i="19" s="1"/>
  <c r="R52" i="19"/>
  <c r="S52" i="19" s="1"/>
  <c r="AD52" i="19" s="1"/>
  <c r="P52" i="19"/>
  <c r="Q52" i="19" s="1"/>
  <c r="AB52" i="19" s="1"/>
  <c r="N52" i="19"/>
  <c r="Y52" i="19" s="1"/>
  <c r="D109" i="22" l="1"/>
  <c r="D111" i="22"/>
  <c r="J47" i="22"/>
  <c r="J36" i="22"/>
  <c r="D67" i="22"/>
  <c r="F64" i="22" s="1"/>
  <c r="J24" i="22"/>
  <c r="J91" i="22"/>
  <c r="J112" i="22"/>
  <c r="J67" i="22"/>
  <c r="D36" i="22"/>
  <c r="F30" i="22" s="1"/>
  <c r="D91" i="22"/>
  <c r="F88" i="22" s="1"/>
  <c r="I42" i="4"/>
  <c r="D43" i="22" s="1"/>
  <c r="D47" i="22" s="1"/>
  <c r="F43" i="22" s="1"/>
  <c r="AH52" i="19"/>
  <c r="W53" i="19"/>
  <c r="J53" i="19" s="1"/>
  <c r="J110" i="4" s="1"/>
  <c r="G111" i="22" s="1"/>
  <c r="Y53" i="19"/>
  <c r="AH53" i="19" s="1"/>
  <c r="S53" i="19"/>
  <c r="AD53" i="19" s="1"/>
  <c r="AA53" i="19"/>
  <c r="O52" i="19"/>
  <c r="Z52" i="19" s="1"/>
  <c r="AA52" i="19"/>
  <c r="AC52" i="19"/>
  <c r="C55" i="19"/>
  <c r="C54" i="19"/>
  <c r="AH54" i="19" s="1"/>
  <c r="AH56" i="19"/>
  <c r="AH45" i="19"/>
  <c r="AH34" i="19"/>
  <c r="AH26" i="19"/>
  <c r="AH21" i="19"/>
  <c r="AH16" i="19"/>
  <c r="D112" i="22" l="1"/>
  <c r="F103" i="22" s="1"/>
  <c r="F60" i="22"/>
  <c r="F45" i="22"/>
  <c r="F33" i="22"/>
  <c r="F44" i="22"/>
  <c r="F46" i="22"/>
  <c r="F35" i="22"/>
  <c r="F31" i="22"/>
  <c r="F87" i="22"/>
  <c r="F84" i="22"/>
  <c r="F54" i="22"/>
  <c r="F66" i="22"/>
  <c r="F58" i="22"/>
  <c r="F56" i="22"/>
  <c r="F62" i="22"/>
  <c r="F90" i="22"/>
  <c r="F82" i="22"/>
  <c r="F86" i="22"/>
  <c r="F76" i="22"/>
  <c r="F74" i="22"/>
  <c r="F80" i="22"/>
  <c r="F78" i="22"/>
  <c r="W52" i="19"/>
  <c r="J52" i="19" s="1"/>
  <c r="J108" i="4" s="1"/>
  <c r="G109" i="22" s="1"/>
  <c r="C31" i="19"/>
  <c r="AH31" i="19" s="1"/>
  <c r="C32" i="19"/>
  <c r="AH32" i="19" s="1"/>
  <c r="C33" i="19"/>
  <c r="AH33" i="19" s="1"/>
  <c r="C20" i="19"/>
  <c r="C24" i="19"/>
  <c r="AH24" i="19" s="1"/>
  <c r="C23" i="19"/>
  <c r="AH23" i="19" s="1"/>
  <c r="C25" i="19"/>
  <c r="AH25" i="19" s="1"/>
  <c r="W56" i="19"/>
  <c r="U56" i="19"/>
  <c r="AF56" i="19" s="1"/>
  <c r="T56" i="19"/>
  <c r="AE56" i="19" s="1"/>
  <c r="R56" i="19"/>
  <c r="P56" i="19"/>
  <c r="N56" i="19"/>
  <c r="Y56" i="19" s="1"/>
  <c r="U55" i="19"/>
  <c r="AF55" i="19" s="1"/>
  <c r="T55" i="19"/>
  <c r="AE55" i="19" s="1"/>
  <c r="R55" i="19"/>
  <c r="AC55" i="19" s="1"/>
  <c r="P55" i="19"/>
  <c r="N55" i="19"/>
  <c r="Y55" i="19" s="1"/>
  <c r="U54" i="19"/>
  <c r="AF54" i="19" s="1"/>
  <c r="T54" i="19"/>
  <c r="AE54" i="19" s="1"/>
  <c r="R54" i="19"/>
  <c r="AC54" i="19" s="1"/>
  <c r="P54" i="19"/>
  <c r="AA54" i="19" s="1"/>
  <c r="N54" i="19"/>
  <c r="Y54" i="19" s="1"/>
  <c r="U51" i="19"/>
  <c r="AF51" i="19" s="1"/>
  <c r="T51" i="19"/>
  <c r="AE51" i="19" s="1"/>
  <c r="R51" i="19"/>
  <c r="AC51" i="19" s="1"/>
  <c r="P51" i="19"/>
  <c r="N51" i="19"/>
  <c r="U50" i="19"/>
  <c r="AF50" i="19" s="1"/>
  <c r="T50" i="19"/>
  <c r="AE50" i="19" s="1"/>
  <c r="R50" i="19"/>
  <c r="P50" i="19"/>
  <c r="AA50" i="19" s="1"/>
  <c r="N50" i="19"/>
  <c r="Y50" i="19" s="1"/>
  <c r="U49" i="19"/>
  <c r="AF49" i="19" s="1"/>
  <c r="T49" i="19"/>
  <c r="AE49" i="19" s="1"/>
  <c r="R49" i="19"/>
  <c r="P49" i="19"/>
  <c r="N49" i="19"/>
  <c r="Y49" i="19" s="1"/>
  <c r="U48" i="19"/>
  <c r="AF48" i="19" s="1"/>
  <c r="T48" i="19"/>
  <c r="AE48" i="19" s="1"/>
  <c r="R48" i="19"/>
  <c r="P48" i="19"/>
  <c r="N48" i="19"/>
  <c r="Y48" i="19" s="1"/>
  <c r="U47" i="19"/>
  <c r="AF47" i="19" s="1"/>
  <c r="T47" i="19"/>
  <c r="AE47" i="19" s="1"/>
  <c r="R47" i="19"/>
  <c r="AC47" i="19" s="1"/>
  <c r="P47" i="19"/>
  <c r="AA47" i="19" s="1"/>
  <c r="N47" i="19"/>
  <c r="Y47" i="19" s="1"/>
  <c r="U46" i="19"/>
  <c r="AF46" i="19" s="1"/>
  <c r="T46" i="19"/>
  <c r="AE46" i="19" s="1"/>
  <c r="R46" i="19"/>
  <c r="P46" i="19"/>
  <c r="N46" i="19"/>
  <c r="Y46" i="19" s="1"/>
  <c r="W45" i="19"/>
  <c r="U45" i="19"/>
  <c r="AF45" i="19" s="1"/>
  <c r="T45" i="19"/>
  <c r="AE45" i="19" s="1"/>
  <c r="R45" i="19"/>
  <c r="AC45" i="19" s="1"/>
  <c r="P45" i="19"/>
  <c r="N45" i="19"/>
  <c r="Y45" i="19" s="1"/>
  <c r="U44" i="19"/>
  <c r="AF44" i="19" s="1"/>
  <c r="T44" i="19"/>
  <c r="AE44" i="19" s="1"/>
  <c r="R44" i="19"/>
  <c r="AC44" i="19" s="1"/>
  <c r="P44" i="19"/>
  <c r="AA44" i="19" s="1"/>
  <c r="N44" i="19"/>
  <c r="U43" i="19"/>
  <c r="AF43" i="19" s="1"/>
  <c r="T43" i="19"/>
  <c r="AE43" i="19" s="1"/>
  <c r="R43" i="19"/>
  <c r="AC43" i="19" s="1"/>
  <c r="P43" i="19"/>
  <c r="AA43" i="19" s="1"/>
  <c r="N43" i="19"/>
  <c r="O43" i="19" s="1"/>
  <c r="Z43" i="19" s="1"/>
  <c r="U42" i="19"/>
  <c r="AF42" i="19" s="1"/>
  <c r="T42" i="19"/>
  <c r="AE42" i="19" s="1"/>
  <c r="R42" i="19"/>
  <c r="P42" i="19"/>
  <c r="N42" i="19"/>
  <c r="U41" i="19"/>
  <c r="AF41" i="19" s="1"/>
  <c r="T41" i="19"/>
  <c r="AE41" i="19" s="1"/>
  <c r="R41" i="19"/>
  <c r="P41" i="19"/>
  <c r="N41" i="19"/>
  <c r="U40" i="19"/>
  <c r="AF40" i="19" s="1"/>
  <c r="T40" i="19"/>
  <c r="AE40" i="19" s="1"/>
  <c r="R40" i="19"/>
  <c r="P40" i="19"/>
  <c r="N40" i="19"/>
  <c r="U39" i="19"/>
  <c r="AF39" i="19" s="1"/>
  <c r="T39" i="19"/>
  <c r="AE39" i="19" s="1"/>
  <c r="R39" i="19"/>
  <c r="AC39" i="19" s="1"/>
  <c r="P39" i="19"/>
  <c r="N39" i="19"/>
  <c r="O39" i="19" s="1"/>
  <c r="Z39" i="19" s="1"/>
  <c r="U38" i="19"/>
  <c r="AF38" i="19" s="1"/>
  <c r="T38" i="19"/>
  <c r="AE38" i="19" s="1"/>
  <c r="R38" i="19"/>
  <c r="AC38" i="19" s="1"/>
  <c r="P38" i="19"/>
  <c r="N38" i="19"/>
  <c r="U37" i="19"/>
  <c r="AF37" i="19" s="1"/>
  <c r="T37" i="19"/>
  <c r="AE37" i="19" s="1"/>
  <c r="R37" i="19"/>
  <c r="P37" i="19"/>
  <c r="N37" i="19"/>
  <c r="U36" i="19"/>
  <c r="AF36" i="19" s="1"/>
  <c r="T36" i="19"/>
  <c r="AE36" i="19" s="1"/>
  <c r="R36" i="19"/>
  <c r="P36" i="19"/>
  <c r="N36" i="19"/>
  <c r="U35" i="19"/>
  <c r="AF35" i="19" s="1"/>
  <c r="T35" i="19"/>
  <c r="AE35" i="19" s="1"/>
  <c r="R35" i="19"/>
  <c r="AC35" i="19" s="1"/>
  <c r="P35" i="19"/>
  <c r="N35" i="19"/>
  <c r="W34" i="19"/>
  <c r="U34" i="19"/>
  <c r="AF34" i="19" s="1"/>
  <c r="T34" i="19"/>
  <c r="AE34" i="19" s="1"/>
  <c r="R34" i="19"/>
  <c r="P34" i="19"/>
  <c r="AA34" i="19" s="1"/>
  <c r="N34" i="19"/>
  <c r="Y34" i="19" s="1"/>
  <c r="U33" i="19"/>
  <c r="AF33" i="19" s="1"/>
  <c r="T33" i="19"/>
  <c r="AE33" i="19" s="1"/>
  <c r="R33" i="19"/>
  <c r="P33" i="19"/>
  <c r="N33" i="19"/>
  <c r="Y33" i="19" s="1"/>
  <c r="U32" i="19"/>
  <c r="AF32" i="19" s="1"/>
  <c r="T32" i="19"/>
  <c r="AE32" i="19" s="1"/>
  <c r="R32" i="19"/>
  <c r="P32" i="19"/>
  <c r="AA32" i="19" s="1"/>
  <c r="N32" i="19"/>
  <c r="Y32" i="19" s="1"/>
  <c r="U31" i="19"/>
  <c r="AF31" i="19" s="1"/>
  <c r="T31" i="19"/>
  <c r="AE31" i="19" s="1"/>
  <c r="R31" i="19"/>
  <c r="AC31" i="19" s="1"/>
  <c r="P31" i="19"/>
  <c r="AA31" i="19" s="1"/>
  <c r="N31" i="19"/>
  <c r="Y31" i="19" s="1"/>
  <c r="U30" i="19"/>
  <c r="AF30" i="19" s="1"/>
  <c r="T30" i="19"/>
  <c r="AE30" i="19" s="1"/>
  <c r="R30" i="19"/>
  <c r="AC30" i="19" s="1"/>
  <c r="P30" i="19"/>
  <c r="AA30" i="19" s="1"/>
  <c r="N30" i="19"/>
  <c r="Y30" i="19" s="1"/>
  <c r="U29" i="19"/>
  <c r="AF29" i="19" s="1"/>
  <c r="T29" i="19"/>
  <c r="AE29" i="19" s="1"/>
  <c r="R29" i="19"/>
  <c r="P29" i="19"/>
  <c r="N29" i="19"/>
  <c r="Y29" i="19" s="1"/>
  <c r="U28" i="19"/>
  <c r="AF28" i="19" s="1"/>
  <c r="T28" i="19"/>
  <c r="AE28" i="19" s="1"/>
  <c r="R28" i="19"/>
  <c r="P28" i="19"/>
  <c r="N28" i="19"/>
  <c r="U27" i="19"/>
  <c r="AF27" i="19" s="1"/>
  <c r="T27" i="19"/>
  <c r="AE27" i="19" s="1"/>
  <c r="R27" i="19"/>
  <c r="AC27" i="19" s="1"/>
  <c r="P27" i="19"/>
  <c r="AA27" i="19" s="1"/>
  <c r="N27" i="19"/>
  <c r="W26" i="19"/>
  <c r="U26" i="19"/>
  <c r="AF26" i="19" s="1"/>
  <c r="T26" i="19"/>
  <c r="AE26" i="19" s="1"/>
  <c r="R26" i="19"/>
  <c r="P26" i="19"/>
  <c r="N26" i="19"/>
  <c r="Y26" i="19" s="1"/>
  <c r="U25" i="19"/>
  <c r="AF25" i="19" s="1"/>
  <c r="T25" i="19"/>
  <c r="AE25" i="19" s="1"/>
  <c r="R25" i="19"/>
  <c r="AC25" i="19" s="1"/>
  <c r="P25" i="19"/>
  <c r="N25" i="19"/>
  <c r="Y25" i="19" s="1"/>
  <c r="U24" i="19"/>
  <c r="AF24" i="19" s="1"/>
  <c r="T24" i="19"/>
  <c r="AE24" i="19" s="1"/>
  <c r="R24" i="19"/>
  <c r="AC24" i="19" s="1"/>
  <c r="P24" i="19"/>
  <c r="N24" i="19"/>
  <c r="Y24" i="19" s="1"/>
  <c r="U23" i="19"/>
  <c r="AF23" i="19" s="1"/>
  <c r="T23" i="19"/>
  <c r="AE23" i="19" s="1"/>
  <c r="R23" i="19"/>
  <c r="AC23" i="19" s="1"/>
  <c r="P23" i="19"/>
  <c r="AA23" i="19" s="1"/>
  <c r="N23" i="19"/>
  <c r="Y23" i="19" s="1"/>
  <c r="U22" i="19"/>
  <c r="AF22" i="19" s="1"/>
  <c r="T22" i="19"/>
  <c r="AE22" i="19" s="1"/>
  <c r="R22" i="19"/>
  <c r="AC22" i="19" s="1"/>
  <c r="P22" i="19"/>
  <c r="AA22" i="19" s="1"/>
  <c r="N22" i="19"/>
  <c r="W21" i="19"/>
  <c r="U21" i="19"/>
  <c r="AF21" i="19" s="1"/>
  <c r="T21" i="19"/>
  <c r="AE21" i="19" s="1"/>
  <c r="R21" i="19"/>
  <c r="P21" i="19"/>
  <c r="N21" i="19"/>
  <c r="Y21" i="19" s="1"/>
  <c r="U20" i="19"/>
  <c r="AF20" i="19" s="1"/>
  <c r="T20" i="19"/>
  <c r="AE20" i="19" s="1"/>
  <c r="R20" i="19"/>
  <c r="AC20" i="19" s="1"/>
  <c r="P20" i="19"/>
  <c r="AA20" i="19" s="1"/>
  <c r="N20" i="19"/>
  <c r="Y20" i="19" s="1"/>
  <c r="U19" i="19"/>
  <c r="AF19" i="19" s="1"/>
  <c r="T19" i="19"/>
  <c r="AE19" i="19" s="1"/>
  <c r="R19" i="19"/>
  <c r="P19" i="19"/>
  <c r="AA19" i="19" s="1"/>
  <c r="N19" i="19"/>
  <c r="Y19" i="19" s="1"/>
  <c r="U17" i="19"/>
  <c r="AF17" i="19" s="1"/>
  <c r="T17" i="19"/>
  <c r="AE17" i="19" s="1"/>
  <c r="R17" i="19"/>
  <c r="P17" i="19"/>
  <c r="AA17" i="19" s="1"/>
  <c r="N17" i="19"/>
  <c r="W16" i="19"/>
  <c r="U16" i="19"/>
  <c r="AF16" i="19" s="1"/>
  <c r="T16" i="19"/>
  <c r="AE16" i="19" s="1"/>
  <c r="R16" i="19"/>
  <c r="AC16" i="19" s="1"/>
  <c r="P16" i="19"/>
  <c r="N16" i="19"/>
  <c r="Y16" i="19" s="1"/>
  <c r="U15" i="19"/>
  <c r="AF15" i="19" s="1"/>
  <c r="T15" i="19"/>
  <c r="AE15" i="19" s="1"/>
  <c r="R15" i="19"/>
  <c r="AC15" i="19" s="1"/>
  <c r="P15" i="19"/>
  <c r="N15" i="19"/>
  <c r="Y15" i="19" s="1"/>
  <c r="U13" i="19"/>
  <c r="AF13" i="19" s="1"/>
  <c r="T13" i="19"/>
  <c r="AE13" i="19" s="1"/>
  <c r="R13" i="19"/>
  <c r="AC13" i="19" s="1"/>
  <c r="P13" i="19"/>
  <c r="AA13" i="19" s="1"/>
  <c r="N13" i="19"/>
  <c r="U12" i="19"/>
  <c r="AF12" i="19" s="1"/>
  <c r="T12" i="19"/>
  <c r="AE12" i="19" s="1"/>
  <c r="N12" i="19"/>
  <c r="Y12" i="19" s="1"/>
  <c r="U11" i="19"/>
  <c r="AF11" i="19" s="1"/>
  <c r="T11" i="19"/>
  <c r="AE11" i="19" s="1"/>
  <c r="R11" i="19"/>
  <c r="AC11" i="19" s="1"/>
  <c r="P11" i="19"/>
  <c r="N11" i="19"/>
  <c r="Y11" i="19" s="1"/>
  <c r="U9" i="19"/>
  <c r="AF9" i="19" s="1"/>
  <c r="T9" i="19"/>
  <c r="AE9" i="19" s="1"/>
  <c r="R9" i="19"/>
  <c r="P9" i="19"/>
  <c r="N9" i="19"/>
  <c r="Y9" i="19" s="1"/>
  <c r="U8" i="19"/>
  <c r="AF8" i="19" s="1"/>
  <c r="T8" i="19"/>
  <c r="AE8" i="19" s="1"/>
  <c r="R8" i="19"/>
  <c r="AC8" i="19" s="1"/>
  <c r="P8" i="19"/>
  <c r="AA8" i="19" s="1"/>
  <c r="C51" i="19"/>
  <c r="C50" i="19"/>
  <c r="AH50" i="19" s="1"/>
  <c r="C49" i="19"/>
  <c r="C48" i="19"/>
  <c r="C47" i="19"/>
  <c r="C46" i="19"/>
  <c r="C30" i="19"/>
  <c r="AH30" i="19" s="1"/>
  <c r="F99" i="22" l="1"/>
  <c r="F111" i="22"/>
  <c r="H111" i="22" s="1"/>
  <c r="F107" i="22"/>
  <c r="F102" i="22"/>
  <c r="F109" i="22"/>
  <c r="F98" i="22"/>
  <c r="F112" i="22" s="1"/>
  <c r="F106" i="22"/>
  <c r="F101" i="22"/>
  <c r="F104" i="22"/>
  <c r="F47" i="22"/>
  <c r="F36" i="22"/>
  <c r="H109" i="22"/>
  <c r="F67" i="22"/>
  <c r="F91" i="22"/>
  <c r="AH47" i="19"/>
  <c r="AH48" i="19"/>
  <c r="Q30" i="19"/>
  <c r="AB30" i="19" s="1"/>
  <c r="AH49" i="19"/>
  <c r="O16" i="19"/>
  <c r="Z16" i="19" s="1"/>
  <c r="S51" i="19"/>
  <c r="AD51" i="19" s="1"/>
  <c r="O12" i="19"/>
  <c r="Z12" i="19" s="1"/>
  <c r="Q15" i="19"/>
  <c r="AB15" i="19" s="1"/>
  <c r="AA15" i="19"/>
  <c r="Q46" i="19"/>
  <c r="AB46" i="19" s="1"/>
  <c r="AA46" i="19"/>
  <c r="S48" i="19"/>
  <c r="AD48" i="19" s="1"/>
  <c r="AC48" i="19"/>
  <c r="Q17" i="19"/>
  <c r="AB17" i="19" s="1"/>
  <c r="Q27" i="19"/>
  <c r="AB27" i="19" s="1"/>
  <c r="S46" i="19"/>
  <c r="AD46" i="19" s="1"/>
  <c r="AC46" i="19"/>
  <c r="S17" i="19"/>
  <c r="AD17" i="19" s="1"/>
  <c r="AC17" i="19"/>
  <c r="Q51" i="19"/>
  <c r="AB51" i="19" s="1"/>
  <c r="AA51" i="19"/>
  <c r="S21" i="19"/>
  <c r="AD21" i="19" s="1"/>
  <c r="AC21" i="19"/>
  <c r="AH20" i="19"/>
  <c r="W20" i="19"/>
  <c r="O47" i="19"/>
  <c r="Z47" i="19" s="1"/>
  <c r="S49" i="19"/>
  <c r="AD49" i="19" s="1"/>
  <c r="AC49" i="19"/>
  <c r="Q26" i="19"/>
  <c r="AB26" i="19" s="1"/>
  <c r="AA26" i="19"/>
  <c r="O28" i="19"/>
  <c r="Z28" i="19" s="1"/>
  <c r="Y28" i="19"/>
  <c r="Q34" i="19"/>
  <c r="AB34" i="19" s="1"/>
  <c r="Q45" i="19"/>
  <c r="AB45" i="19" s="1"/>
  <c r="AA45" i="19"/>
  <c r="Q56" i="19"/>
  <c r="AB56" i="19" s="1"/>
  <c r="AA56" i="19"/>
  <c r="O17" i="19"/>
  <c r="Z17" i="19" s="1"/>
  <c r="Y17" i="19"/>
  <c r="Q25" i="19"/>
  <c r="AB25" i="19" s="1"/>
  <c r="AA25" i="19"/>
  <c r="O51" i="19"/>
  <c r="Z51" i="19" s="1"/>
  <c r="Y51" i="19"/>
  <c r="AH51" i="19" s="1"/>
  <c r="O19" i="19"/>
  <c r="Z19" i="19" s="1"/>
  <c r="Q21" i="19"/>
  <c r="AB21" i="19" s="1"/>
  <c r="AA21" i="19"/>
  <c r="S19" i="19"/>
  <c r="AD19" i="19" s="1"/>
  <c r="AC19" i="19"/>
  <c r="Q49" i="19"/>
  <c r="AB49" i="19" s="1"/>
  <c r="AA49" i="19"/>
  <c r="Q16" i="19"/>
  <c r="AB16" i="19" s="1"/>
  <c r="AA16" i="19"/>
  <c r="AH46" i="19"/>
  <c r="Q9" i="19"/>
  <c r="AB9" i="19" s="1"/>
  <c r="AA9" i="19"/>
  <c r="S16" i="19"/>
  <c r="AD16" i="19" s="1"/>
  <c r="O22" i="19"/>
  <c r="Z22" i="19" s="1"/>
  <c r="Y22" i="19"/>
  <c r="Q24" i="19"/>
  <c r="AB24" i="19" s="1"/>
  <c r="AA24" i="19"/>
  <c r="S26" i="19"/>
  <c r="AD26" i="19" s="1"/>
  <c r="AC26" i="19"/>
  <c r="Q28" i="19"/>
  <c r="AB28" i="19" s="1"/>
  <c r="AA28" i="19"/>
  <c r="Q32" i="19"/>
  <c r="AB32" i="19" s="1"/>
  <c r="S34" i="19"/>
  <c r="AD34" i="19" s="1"/>
  <c r="AC34" i="19"/>
  <c r="S56" i="19"/>
  <c r="AD56" i="19" s="1"/>
  <c r="AC56" i="19"/>
  <c r="S9" i="19"/>
  <c r="AD9" i="19" s="1"/>
  <c r="AC9" i="19"/>
  <c r="O13" i="19"/>
  <c r="Z13" i="19" s="1"/>
  <c r="Y13" i="19"/>
  <c r="S28" i="19"/>
  <c r="AD28" i="19" s="1"/>
  <c r="AC28" i="19"/>
  <c r="O15" i="19"/>
  <c r="Z15" i="19" s="1"/>
  <c r="Q22" i="19"/>
  <c r="AB22" i="19" s="1"/>
  <c r="S24" i="19"/>
  <c r="AD24" i="19" s="1"/>
  <c r="S50" i="19"/>
  <c r="AD50" i="19" s="1"/>
  <c r="AC50" i="19"/>
  <c r="O27" i="19"/>
  <c r="Z27" i="19" s="1"/>
  <c r="Y27" i="19"/>
  <c r="Q48" i="19"/>
  <c r="AB48" i="19" s="1"/>
  <c r="AA48" i="19"/>
  <c r="Q29" i="19"/>
  <c r="AB29" i="19" s="1"/>
  <c r="AA29" i="19"/>
  <c r="S29" i="19"/>
  <c r="AD29" i="19" s="1"/>
  <c r="AC29" i="19"/>
  <c r="Y44" i="19"/>
  <c r="O11" i="19"/>
  <c r="Z11" i="19" s="1"/>
  <c r="Q11" i="19"/>
  <c r="AB11" i="19" s="1"/>
  <c r="AA11" i="19"/>
  <c r="S32" i="19"/>
  <c r="AD32" i="19" s="1"/>
  <c r="AC32" i="19"/>
  <c r="Q31" i="19"/>
  <c r="AB31" i="19" s="1"/>
  <c r="Q33" i="19"/>
  <c r="AB33" i="19" s="1"/>
  <c r="AA33" i="19"/>
  <c r="S33" i="19"/>
  <c r="AD33" i="19" s="1"/>
  <c r="AC33" i="19"/>
  <c r="Q40" i="19"/>
  <c r="AB40" i="19" s="1"/>
  <c r="AA40" i="19"/>
  <c r="Q38" i="19"/>
  <c r="AB38" i="19" s="1"/>
  <c r="AA38" i="19"/>
  <c r="S40" i="19"/>
  <c r="AD40" i="19" s="1"/>
  <c r="AC40" i="19"/>
  <c r="Q35" i="19"/>
  <c r="AB35" i="19" s="1"/>
  <c r="AA35" i="19"/>
  <c r="Q42" i="19"/>
  <c r="AB42" i="19" s="1"/>
  <c r="AA42" i="19"/>
  <c r="O40" i="19"/>
  <c r="Z40" i="19" s="1"/>
  <c r="Y40" i="19"/>
  <c r="S36" i="19"/>
  <c r="AD36" i="19" s="1"/>
  <c r="AC36" i="19"/>
  <c r="Y39" i="19"/>
  <c r="Q41" i="19"/>
  <c r="AB41" i="19" s="1"/>
  <c r="AA41" i="19"/>
  <c r="S42" i="19"/>
  <c r="AD42" i="19" s="1"/>
  <c r="AC42" i="19"/>
  <c r="Y38" i="19"/>
  <c r="Y36" i="19"/>
  <c r="Y43" i="19"/>
  <c r="Q36" i="19"/>
  <c r="AB36" i="19" s="1"/>
  <c r="AA36" i="19"/>
  <c r="Y41" i="19"/>
  <c r="S41" i="19"/>
  <c r="AD41" i="19" s="1"/>
  <c r="AC41" i="19"/>
  <c r="Y37" i="19"/>
  <c r="Q39" i="19"/>
  <c r="AB39" i="19" s="1"/>
  <c r="AA39" i="19"/>
  <c r="Y35" i="19"/>
  <c r="Q37" i="19"/>
  <c r="AB37" i="19" s="1"/>
  <c r="AA37" i="19"/>
  <c r="O35" i="19"/>
  <c r="Z35" i="19" s="1"/>
  <c r="S37" i="19"/>
  <c r="AD37" i="19" s="1"/>
  <c r="AC37" i="19"/>
  <c r="Y42" i="19"/>
  <c r="AH55" i="19"/>
  <c r="Q55" i="19"/>
  <c r="AB55" i="19" s="1"/>
  <c r="AA55" i="19"/>
  <c r="Q54" i="19"/>
  <c r="AB54" i="19" s="1"/>
  <c r="S54" i="19"/>
  <c r="AD54" i="19" s="1"/>
  <c r="S27" i="19"/>
  <c r="AD27" i="19" s="1"/>
  <c r="S39" i="19"/>
  <c r="AD39" i="19" s="1"/>
  <c r="O20" i="19"/>
  <c r="Z20" i="19" s="1"/>
  <c r="O21" i="19"/>
  <c r="Z21" i="19" s="1"/>
  <c r="S31" i="19"/>
  <c r="AD31" i="19" s="1"/>
  <c r="S35" i="19"/>
  <c r="AD35" i="19" s="1"/>
  <c r="S38" i="19"/>
  <c r="AD38" i="19" s="1"/>
  <c r="S45" i="19"/>
  <c r="AD45" i="19" s="1"/>
  <c r="O49" i="19"/>
  <c r="Z49" i="19" s="1"/>
  <c r="Q19" i="19"/>
  <c r="AB19" i="19" s="1"/>
  <c r="O23" i="19"/>
  <c r="Z23" i="19" s="1"/>
  <c r="O44" i="19"/>
  <c r="Z44" i="19" s="1"/>
  <c r="Q20" i="19"/>
  <c r="AB20" i="19" s="1"/>
  <c r="S30" i="19"/>
  <c r="AD30" i="19" s="1"/>
  <c r="O48" i="19"/>
  <c r="Z48" i="19" s="1"/>
  <c r="S20" i="19"/>
  <c r="AD20" i="19" s="1"/>
  <c r="Q23" i="19"/>
  <c r="AB23" i="19" s="1"/>
  <c r="Q44" i="19"/>
  <c r="AB44" i="19" s="1"/>
  <c r="O56" i="19"/>
  <c r="Z56" i="19" s="1"/>
  <c r="Q13" i="19"/>
  <c r="AB13" i="19" s="1"/>
  <c r="S23" i="19"/>
  <c r="AD23" i="19" s="1"/>
  <c r="S13" i="19"/>
  <c r="AD13" i="19" s="1"/>
  <c r="S22" i="19"/>
  <c r="AD22" i="19" s="1"/>
  <c r="S44" i="19"/>
  <c r="AD44" i="19" s="1"/>
  <c r="O9" i="19"/>
  <c r="Z9" i="19" s="1"/>
  <c r="Q47" i="19"/>
  <c r="AB47" i="19" s="1"/>
  <c r="O55" i="19"/>
  <c r="Z55" i="19" s="1"/>
  <c r="S15" i="19"/>
  <c r="AD15" i="19" s="1"/>
  <c r="O36" i="19"/>
  <c r="Z36" i="19" s="1"/>
  <c r="S47" i="19"/>
  <c r="AD47" i="19" s="1"/>
  <c r="O26" i="19"/>
  <c r="Z26" i="19" s="1"/>
  <c r="Q43" i="19"/>
  <c r="AB43" i="19" s="1"/>
  <c r="O46" i="19"/>
  <c r="Z46" i="19" s="1"/>
  <c r="O25" i="19"/>
  <c r="Z25" i="19" s="1"/>
  <c r="O29" i="19"/>
  <c r="Z29" i="19" s="1"/>
  <c r="O31" i="19"/>
  <c r="Z31" i="19" s="1"/>
  <c r="O32" i="19"/>
  <c r="Z32" i="19" s="1"/>
  <c r="W32" i="19"/>
  <c r="O41" i="19"/>
  <c r="Z41" i="19" s="1"/>
  <c r="S43" i="19"/>
  <c r="AD43" i="19" s="1"/>
  <c r="S55" i="19"/>
  <c r="AD55" i="19" s="1"/>
  <c r="O24" i="19"/>
  <c r="Z24" i="19" s="1"/>
  <c r="S25" i="19"/>
  <c r="AD25" i="19" s="1"/>
  <c r="O33" i="19"/>
  <c r="Z33" i="19" s="1"/>
  <c r="O37" i="19"/>
  <c r="Z37" i="19" s="1"/>
  <c r="O38" i="19"/>
  <c r="Z38" i="19" s="1"/>
  <c r="O42" i="19"/>
  <c r="Z42" i="19" s="1"/>
  <c r="O45" i="19"/>
  <c r="Z45" i="19" s="1"/>
  <c r="Q50" i="19"/>
  <c r="AB50" i="19" s="1"/>
  <c r="S11" i="19"/>
  <c r="AD11" i="19" s="1"/>
  <c r="O30" i="19"/>
  <c r="Z30" i="19" s="1"/>
  <c r="O34" i="19"/>
  <c r="Z34" i="19" s="1"/>
  <c r="O54" i="19"/>
  <c r="Z54" i="19" s="1"/>
  <c r="O50" i="19"/>
  <c r="Z50" i="19" s="1"/>
  <c r="N8" i="19"/>
  <c r="Y8" i="19" s="1"/>
  <c r="W46" i="19" l="1"/>
  <c r="W51" i="19"/>
  <c r="W23" i="19"/>
  <c r="W49" i="19"/>
  <c r="W31" i="19"/>
  <c r="W50" i="19"/>
  <c r="W54" i="19"/>
  <c r="W33" i="19"/>
  <c r="W55" i="19"/>
  <c r="W24" i="19"/>
  <c r="W25" i="19"/>
  <c r="W48" i="19"/>
  <c r="W30" i="19"/>
  <c r="W47" i="19"/>
  <c r="O8" i="15" l="1"/>
  <c r="O16" i="15" l="1"/>
  <c r="C22" i="4" l="1"/>
  <c r="C18" i="4"/>
  <c r="C16" i="4"/>
  <c r="C14" i="4"/>
  <c r="C10" i="4"/>
  <c r="C8" i="4"/>
  <c r="J55" i="19"/>
  <c r="J106" i="4" s="1"/>
  <c r="G107" i="22" s="1"/>
  <c r="H107" i="22" s="1"/>
  <c r="J51" i="19"/>
  <c r="J103" i="4" s="1"/>
  <c r="G104" i="22" s="1"/>
  <c r="H104" i="22" s="1"/>
  <c r="J50" i="19"/>
  <c r="J102" i="4" s="1"/>
  <c r="G103" i="22" s="1"/>
  <c r="H103" i="22" s="1"/>
  <c r="J49" i="19"/>
  <c r="J101" i="4" s="1"/>
  <c r="G102" i="22" s="1"/>
  <c r="H102" i="22" s="1"/>
  <c r="J48" i="19"/>
  <c r="J100" i="4" s="1"/>
  <c r="G101" i="22" s="1"/>
  <c r="H101" i="22" s="1"/>
  <c r="J47" i="19"/>
  <c r="J98" i="4" s="1"/>
  <c r="G99" i="22" s="1"/>
  <c r="H99" i="22" s="1"/>
  <c r="J46" i="19"/>
  <c r="J97" i="4" s="1"/>
  <c r="G98" i="22" s="1"/>
  <c r="H98" i="22" s="1"/>
  <c r="J25" i="19"/>
  <c r="J45" i="4" s="1"/>
  <c r="G46" i="22" s="1"/>
  <c r="H46" i="22" s="1"/>
  <c r="J23" i="19"/>
  <c r="J43" i="4" s="1"/>
  <c r="G44" i="22" s="1"/>
  <c r="H44" i="22" s="1"/>
  <c r="J54" i="19"/>
  <c r="J105" i="4" s="1"/>
  <c r="G106" i="22" s="1"/>
  <c r="H106" i="22" s="1"/>
  <c r="J30" i="19"/>
  <c r="J59" i="4" s="1"/>
  <c r="G60" i="22" s="1"/>
  <c r="H60" i="22" s="1"/>
  <c r="J20" i="19"/>
  <c r="J34" i="4" s="1"/>
  <c r="G35" i="22" s="1"/>
  <c r="H35" i="22" s="1"/>
  <c r="J24" i="19"/>
  <c r="J44" i="4" s="1"/>
  <c r="G45" i="22" s="1"/>
  <c r="H45" i="22" s="1"/>
  <c r="J31" i="19"/>
  <c r="J61" i="4" s="1"/>
  <c r="G62" i="22" s="1"/>
  <c r="H62" i="22" s="1"/>
  <c r="J32" i="19"/>
  <c r="J63" i="4" s="1"/>
  <c r="G64" i="22" s="1"/>
  <c r="H64" i="22" s="1"/>
  <c r="J33" i="19"/>
  <c r="J65" i="4" s="1"/>
  <c r="G66" i="22" s="1"/>
  <c r="H66" i="22" s="1"/>
  <c r="S8" i="19"/>
  <c r="AD8" i="19" s="1"/>
  <c r="Q8" i="19"/>
  <c r="AB8" i="19" s="1"/>
  <c r="O8" i="19"/>
  <c r="Z8" i="19" s="1"/>
  <c r="I8" i="4"/>
  <c r="C8" i="19" l="1"/>
  <c r="AH8" i="19" s="1"/>
  <c r="D6" i="22"/>
  <c r="H112" i="22"/>
  <c r="D55" i="21"/>
  <c r="D101" i="21" s="1"/>
  <c r="C9" i="19"/>
  <c r="C44" i="19"/>
  <c r="C40" i="19"/>
  <c r="C43" i="19"/>
  <c r="C42" i="19"/>
  <c r="C41" i="19"/>
  <c r="C39" i="19"/>
  <c r="C38" i="19"/>
  <c r="C37" i="19"/>
  <c r="C36" i="19"/>
  <c r="C35" i="19"/>
  <c r="C29" i="19"/>
  <c r="C28" i="19"/>
  <c r="C27" i="19"/>
  <c r="C19" i="19"/>
  <c r="C17" i="19"/>
  <c r="I22" i="4"/>
  <c r="I20" i="4"/>
  <c r="I18" i="4"/>
  <c r="C12" i="19"/>
  <c r="C11" i="19"/>
  <c r="K55" i="21"/>
  <c r="K101" i="21" s="1"/>
  <c r="I55" i="21"/>
  <c r="I101" i="21" s="1"/>
  <c r="G55" i="21"/>
  <c r="G101" i="21" s="1"/>
  <c r="E55" i="21"/>
  <c r="E101" i="21" s="1"/>
  <c r="C146" i="21"/>
  <c r="C145" i="21"/>
  <c r="C144" i="21"/>
  <c r="C143" i="21"/>
  <c r="C142" i="21"/>
  <c r="C141" i="21"/>
  <c r="C140" i="21"/>
  <c r="C139" i="21"/>
  <c r="C138" i="21"/>
  <c r="C137" i="21"/>
  <c r="C136" i="21"/>
  <c r="C135" i="21"/>
  <c r="C134" i="21"/>
  <c r="C133" i="21"/>
  <c r="C132" i="21"/>
  <c r="C131" i="21"/>
  <c r="C130" i="21"/>
  <c r="C129" i="21"/>
  <c r="C128" i="21"/>
  <c r="C127" i="21"/>
  <c r="C126" i="21"/>
  <c r="C125" i="21"/>
  <c r="C124" i="21"/>
  <c r="C123" i="21"/>
  <c r="C122" i="21"/>
  <c r="C121" i="21"/>
  <c r="C120" i="21"/>
  <c r="C119" i="21"/>
  <c r="C118" i="21"/>
  <c r="C117" i="21"/>
  <c r="C116" i="21"/>
  <c r="C115" i="21"/>
  <c r="C114" i="21"/>
  <c r="C113" i="21"/>
  <c r="C112" i="21"/>
  <c r="C111" i="21"/>
  <c r="C110" i="21"/>
  <c r="C109" i="21"/>
  <c r="C108" i="21"/>
  <c r="C107" i="21"/>
  <c r="C106" i="21"/>
  <c r="C105" i="21"/>
  <c r="C104" i="21"/>
  <c r="C103" i="21"/>
  <c r="C102" i="21"/>
  <c r="C101" i="21"/>
  <c r="C95" i="21"/>
  <c r="C94" i="21"/>
  <c r="C93" i="21"/>
  <c r="C92" i="21"/>
  <c r="C91" i="21"/>
  <c r="C90" i="21"/>
  <c r="C89" i="21"/>
  <c r="C88" i="21"/>
  <c r="C87" i="21"/>
  <c r="C86" i="21"/>
  <c r="C85" i="21"/>
  <c r="C84" i="21"/>
  <c r="C83" i="21"/>
  <c r="C82" i="21"/>
  <c r="C81" i="21"/>
  <c r="C80" i="21"/>
  <c r="C79" i="21"/>
  <c r="C78" i="21"/>
  <c r="C77" i="21"/>
  <c r="C76" i="21"/>
  <c r="C75" i="21"/>
  <c r="C74" i="21"/>
  <c r="C73" i="21"/>
  <c r="C72" i="21"/>
  <c r="C71" i="21"/>
  <c r="C70" i="21"/>
  <c r="C69" i="21"/>
  <c r="C68" i="21"/>
  <c r="C67" i="21"/>
  <c r="C66" i="21"/>
  <c r="C65" i="21"/>
  <c r="C64" i="21"/>
  <c r="C63" i="21"/>
  <c r="C62" i="21"/>
  <c r="C61" i="21"/>
  <c r="C60" i="21"/>
  <c r="C59" i="21"/>
  <c r="C58" i="21"/>
  <c r="C57" i="21"/>
  <c r="C56" i="21"/>
  <c r="C55" i="21"/>
  <c r="C49" i="21"/>
  <c r="C48" i="21"/>
  <c r="C47" i="21"/>
  <c r="C46" i="21"/>
  <c r="C45" i="21"/>
  <c r="C44" i="21"/>
  <c r="C43" i="21"/>
  <c r="C42" i="21"/>
  <c r="C41" i="21"/>
  <c r="C40" i="21"/>
  <c r="C39" i="21"/>
  <c r="C38" i="21"/>
  <c r="C37" i="21"/>
  <c r="C36" i="21"/>
  <c r="C35" i="21"/>
  <c r="C34" i="21"/>
  <c r="C33" i="21"/>
  <c r="C32" i="21"/>
  <c r="C31" i="21"/>
  <c r="C30" i="21"/>
  <c r="C29" i="21"/>
  <c r="C28" i="21"/>
  <c r="C27" i="21"/>
  <c r="C26" i="21"/>
  <c r="C25" i="21"/>
  <c r="C24" i="21"/>
  <c r="C23" i="21"/>
  <c r="C22" i="21"/>
  <c r="C21" i="21"/>
  <c r="C20" i="21"/>
  <c r="C19" i="21"/>
  <c r="C18" i="21"/>
  <c r="C17" i="21"/>
  <c r="C16" i="21"/>
  <c r="C15" i="21"/>
  <c r="C14" i="21"/>
  <c r="C13" i="21"/>
  <c r="C12" i="21"/>
  <c r="C11" i="21"/>
  <c r="C10" i="21"/>
  <c r="C9" i="21"/>
  <c r="C8" i="21"/>
  <c r="C7" i="21"/>
  <c r="W8" i="19" l="1"/>
  <c r="J8" i="19" s="1"/>
  <c r="J8" i="4" s="1"/>
  <c r="G6" i="22" s="1"/>
  <c r="D21" i="22"/>
  <c r="C15" i="19"/>
  <c r="W15" i="19" s="1"/>
  <c r="J15" i="19" s="1"/>
  <c r="J22" i="4" s="1"/>
  <c r="G23" i="22" s="1"/>
  <c r="D23" i="22"/>
  <c r="C13" i="19"/>
  <c r="AH13" i="19" s="1"/>
  <c r="D19" i="22"/>
  <c r="D24" i="22" s="1"/>
  <c r="F6" i="22" s="1"/>
  <c r="W40" i="19"/>
  <c r="AH40" i="19"/>
  <c r="J40" i="19" s="1"/>
  <c r="J83" i="4" s="1"/>
  <c r="G84" i="22" s="1"/>
  <c r="H84" i="22" s="1"/>
  <c r="AH27" i="19"/>
  <c r="W27" i="19"/>
  <c r="J27" i="19" s="1"/>
  <c r="J53" i="4" s="1"/>
  <c r="G54" i="22" s="1"/>
  <c r="H54" i="22" s="1"/>
  <c r="W44" i="19"/>
  <c r="J44" i="19" s="1"/>
  <c r="J89" i="4" s="1"/>
  <c r="G90" i="22" s="1"/>
  <c r="H90" i="22" s="1"/>
  <c r="AH44" i="19"/>
  <c r="AH28" i="19"/>
  <c r="W28" i="19"/>
  <c r="J28" i="19" s="1"/>
  <c r="J55" i="4" s="1"/>
  <c r="G56" i="22" s="1"/>
  <c r="H56" i="22" s="1"/>
  <c r="J12" i="4"/>
  <c r="G11" i="22" s="1"/>
  <c r="AH29" i="19"/>
  <c r="W29" i="19"/>
  <c r="J29" i="19" s="1"/>
  <c r="J57" i="4" s="1"/>
  <c r="G58" i="22" s="1"/>
  <c r="H58" i="22" s="1"/>
  <c r="AH11" i="19"/>
  <c r="W11" i="19"/>
  <c r="J11" i="19" s="1"/>
  <c r="J14" i="4" s="1"/>
  <c r="G14" i="22" s="1"/>
  <c r="W35" i="19"/>
  <c r="AH35" i="19"/>
  <c r="W36" i="19"/>
  <c r="AH36" i="19"/>
  <c r="J36" i="19" s="1"/>
  <c r="J75" i="4" s="1"/>
  <c r="G76" i="22" s="1"/>
  <c r="H76" i="22" s="1"/>
  <c r="W37" i="19"/>
  <c r="AH37" i="19"/>
  <c r="J37" i="19" s="1"/>
  <c r="J77" i="4" s="1"/>
  <c r="G78" i="22" s="1"/>
  <c r="H78" i="22" s="1"/>
  <c r="W38" i="19"/>
  <c r="AH38" i="19"/>
  <c r="J38" i="19" s="1"/>
  <c r="J79" i="4" s="1"/>
  <c r="G80" i="22" s="1"/>
  <c r="H80" i="22" s="1"/>
  <c r="W39" i="19"/>
  <c r="AH39" i="19"/>
  <c r="J39" i="19" s="1"/>
  <c r="J81" i="4" s="1"/>
  <c r="G82" i="22" s="1"/>
  <c r="H82" i="22" s="1"/>
  <c r="W41" i="19"/>
  <c r="AH41" i="19"/>
  <c r="W42" i="19"/>
  <c r="AH42" i="19"/>
  <c r="W43" i="19"/>
  <c r="AH43" i="19"/>
  <c r="J30" i="4"/>
  <c r="G31" i="22" s="1"/>
  <c r="H31" i="22" s="1"/>
  <c r="AH19" i="19"/>
  <c r="J19" i="19" s="1"/>
  <c r="J32" i="4" s="1"/>
  <c r="G33" i="22" s="1"/>
  <c r="H33" i="22" s="1"/>
  <c r="W19" i="19"/>
  <c r="AH17" i="19"/>
  <c r="W17" i="19"/>
  <c r="J17" i="19" s="1"/>
  <c r="J29" i="4" s="1"/>
  <c r="G30" i="22" s="1"/>
  <c r="H30" i="22" s="1"/>
  <c r="J20" i="4"/>
  <c r="G21" i="22" s="1"/>
  <c r="AH9" i="19"/>
  <c r="W9" i="19"/>
  <c r="J9" i="19" s="1"/>
  <c r="J10" i="4" s="1"/>
  <c r="G8" i="22" s="1"/>
  <c r="AH12" i="19"/>
  <c r="W12" i="19"/>
  <c r="J12" i="19" s="1"/>
  <c r="J16" i="4" s="1"/>
  <c r="G17" i="22" s="1"/>
  <c r="C22" i="19"/>
  <c r="AH22" i="19" s="1"/>
  <c r="F12" i="19" a="1"/>
  <c r="F12" i="19" s="1"/>
  <c r="P12" i="19" s="1"/>
  <c r="G12" i="19" a="1"/>
  <c r="G12" i="19" s="1"/>
  <c r="R12" i="19" s="1"/>
  <c r="AH15" i="19" l="1"/>
  <c r="W13" i="19"/>
  <c r="J13" i="19" s="1"/>
  <c r="J18" i="4" s="1"/>
  <c r="G19" i="22" s="1"/>
  <c r="F17" i="22"/>
  <c r="H17" i="22" s="1"/>
  <c r="F14" i="22"/>
  <c r="H14" i="22" s="1"/>
  <c r="F11" i="22"/>
  <c r="H11" i="22" s="1"/>
  <c r="F8" i="22"/>
  <c r="H8" i="22" s="1"/>
  <c r="F19" i="22"/>
  <c r="F21" i="22"/>
  <c r="H21" i="22" s="1"/>
  <c r="F23" i="22"/>
  <c r="H23" i="22" s="1"/>
  <c r="H6" i="22"/>
  <c r="H67" i="22"/>
  <c r="H36" i="22"/>
  <c r="Q12" i="19"/>
  <c r="AB12" i="19" s="1"/>
  <c r="AA12" i="19"/>
  <c r="AC12" i="19"/>
  <c r="S12" i="19"/>
  <c r="AD12" i="19" s="1"/>
  <c r="W22" i="19"/>
  <c r="J22" i="19"/>
  <c r="J42" i="4" s="1"/>
  <c r="G43" i="22" s="1"/>
  <c r="H43" i="22" s="1"/>
  <c r="H47" i="22" s="1"/>
  <c r="J42" i="19"/>
  <c r="J86" i="4" s="1"/>
  <c r="G87" i="22" s="1"/>
  <c r="H87" i="22" s="1"/>
  <c r="J43" i="19"/>
  <c r="J87" i="4" s="1"/>
  <c r="G88" i="22" s="1"/>
  <c r="H88" i="22" s="1"/>
  <c r="J41" i="19"/>
  <c r="J85" i="4" s="1"/>
  <c r="G86" i="22" s="1"/>
  <c r="H86" i="22" s="1"/>
  <c r="J35" i="19"/>
  <c r="J73" i="4" s="1"/>
  <c r="G74" i="22" s="1"/>
  <c r="H74" i="22" s="1"/>
  <c r="H19" i="22" l="1"/>
  <c r="H24" i="22"/>
  <c r="N8" i="15" s="1"/>
  <c r="F24" i="22"/>
  <c r="H91" i="22"/>
  <c r="N12" i="15"/>
  <c r="N14" i="15"/>
  <c r="L8" i="15" l="1"/>
  <c r="H8" i="15"/>
  <c r="F8" i="15"/>
  <c r="J8" i="15"/>
  <c r="L14" i="15"/>
  <c r="H14" i="15"/>
  <c r="F14" i="15"/>
  <c r="J14" i="15"/>
  <c r="F12" i="15"/>
  <c r="L12" i="15"/>
  <c r="H12" i="15"/>
  <c r="J12" i="15"/>
  <c r="D12" i="15"/>
  <c r="D8" i="15"/>
  <c r="D14" i="15"/>
  <c r="P8" i="15"/>
  <c r="N16" i="15" l="1"/>
  <c r="D16" i="15" s="1"/>
  <c r="N10" i="15"/>
  <c r="O10" i="15"/>
  <c r="J10" i="15" l="1"/>
  <c r="D10" i="15"/>
  <c r="F10" i="15"/>
  <c r="L10" i="15"/>
  <c r="H10" i="15"/>
  <c r="L16" i="15"/>
  <c r="H16" i="15"/>
  <c r="F16" i="15"/>
  <c r="J16" i="15"/>
  <c r="P16" i="15"/>
  <c r="P10" i="15"/>
  <c r="O12" i="15"/>
  <c r="P12" i="15" s="1"/>
  <c r="O14" i="15"/>
  <c r="P14" i="15" s="1"/>
  <c r="P19" i="15" l="1"/>
  <c r="O19" i="15"/>
  <c r="N19" i="15" l="1"/>
  <c r="L19" i="15" l="1"/>
  <c r="H19" i="15"/>
  <c r="D19" i="15"/>
  <c r="F19" i="15"/>
  <c r="J19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<sst xmlns="http://schemas.openxmlformats.org/spreadsheetml/2006/main" count="741" uniqueCount="269">
  <si>
    <t>Überlegungen</t>
  </si>
  <si>
    <t>Deutsch und Englisch</t>
  </si>
  <si>
    <t>Ampelsystem (je Blatt/Bereich) und insgesamt</t>
  </si>
  <si>
    <t>Direkte Termin-Vereinbarungsmöglichkeit via Link</t>
  </si>
  <si>
    <t>benötigte Daten</t>
  </si>
  <si>
    <t>Anmerkungen</t>
  </si>
  <si>
    <t>KPI / Aspekt</t>
  </si>
  <si>
    <t>Umsatzwachstum</t>
  </si>
  <si>
    <t>Eigenkapital</t>
  </si>
  <si>
    <t>Health Check - Ertrag / Rentabilität</t>
  </si>
  <si>
    <t>Health Check - Eigenkapital</t>
  </si>
  <si>
    <t>Health Check - Working Capital</t>
  </si>
  <si>
    <t>Health Check - Liquidität</t>
  </si>
  <si>
    <t>Health Check - Qualitative Faktoren</t>
  </si>
  <si>
    <t>Rentabilität</t>
  </si>
  <si>
    <t>Working Capital</t>
  </si>
  <si>
    <t>Liquidität</t>
  </si>
  <si>
    <t>Gesamtergebnis Health Check</t>
  </si>
  <si>
    <t>Health Check - Finanzierungssituation</t>
  </si>
  <si>
    <t xml:space="preserve">EBITDA-Marge </t>
  </si>
  <si>
    <t xml:space="preserve">EBIT-Marge </t>
  </si>
  <si>
    <t>Nicht alle Daten vorhanden / eingegeben &lt;=&gt; relative Gewichting (aber: Disclaimer, dass nicht alle Daten betrachtet wurden)</t>
  </si>
  <si>
    <t xml:space="preserve">EAT-Marge </t>
  </si>
  <si>
    <t xml:space="preserve">Return on Capital Employed (ROCE) </t>
  </si>
  <si>
    <t xml:space="preserve">Return on Equity (ROE) </t>
  </si>
  <si>
    <t xml:space="preserve">Rohertragsmarge-Marge </t>
  </si>
  <si>
    <t>EBITDA absolut</t>
  </si>
  <si>
    <t>EBIT absolut</t>
  </si>
  <si>
    <t>EAT absolut</t>
  </si>
  <si>
    <t>Cash Ratio</t>
  </si>
  <si>
    <t>Quick Ratio</t>
  </si>
  <si>
    <t xml:space="preserve">Cash Conversion Cycle </t>
  </si>
  <si>
    <t>DSO</t>
  </si>
  <si>
    <t>DPO</t>
  </si>
  <si>
    <t>Eigenkapital-Quote</t>
  </si>
  <si>
    <t>Verschuldungsgrad</t>
  </si>
  <si>
    <t>Return on Net Assets (RoNA)</t>
  </si>
  <si>
    <t>Netto-Verschuldungsgrad</t>
  </si>
  <si>
    <t>Prolongationen in den nächsten 12 Monaten</t>
  </si>
  <si>
    <t>Refinanzierungen in den nächsten 12 Monaten</t>
  </si>
  <si>
    <t>Intensivkreditbetreuung einer Bank involviert?</t>
  </si>
  <si>
    <t>Interest Coverage Ratio</t>
  </si>
  <si>
    <t>Free Cash Flow</t>
  </si>
  <si>
    <t>Unternehmensplanung</t>
  </si>
  <si>
    <t>Integrierte Unternehmensplanung</t>
  </si>
  <si>
    <t>Planung für die nächsten mind. 2 Geschäftsjahre</t>
  </si>
  <si>
    <t>Planung erfolgt auf Monatsbasis?</t>
  </si>
  <si>
    <t>Möglichkeit: Aspekt "Relevant" / "Nicht relevant"</t>
  </si>
  <si>
    <t>Cash Conversion</t>
  </si>
  <si>
    <t>Net Working Capital-Intensität</t>
  </si>
  <si>
    <t>Net Cash Flow</t>
  </si>
  <si>
    <t>Operativer Cash Flow</t>
  </si>
  <si>
    <t>Zinstragende Verbindlichkeiten; Cash; EBITDA</t>
  </si>
  <si>
    <t>Managementqualität</t>
  </si>
  <si>
    <t>1. Führungsebene</t>
  </si>
  <si>
    <t>2. Führungsebene</t>
  </si>
  <si>
    <t>Branche</t>
  </si>
  <si>
    <t>Unternehmensname</t>
  </si>
  <si>
    <t>Sitz der Gesellschaft</t>
  </si>
  <si>
    <t xml:space="preserve">Besonderheiten </t>
  </si>
  <si>
    <t>Wie schätzen Sie den aktuellen Zustand Ihres Unternehmens ein?</t>
  </si>
  <si>
    <t>Erste Angaben</t>
  </si>
  <si>
    <t>Selbsteinschätzung</t>
  </si>
  <si>
    <t>Ansprechpartner</t>
  </si>
  <si>
    <t>Wettbewerbsposition</t>
  </si>
  <si>
    <t>Preis</t>
  </si>
  <si>
    <t>Produktspektrum</t>
  </si>
  <si>
    <t>Geographische Märkte</t>
  </si>
  <si>
    <t>Produktqualität</t>
  </si>
  <si>
    <t>Covenant Compliance in den letzten 12 Monaten</t>
  </si>
  <si>
    <t>(Materielle) Waiver-Anträge in den letzten 12 Monaten?</t>
  </si>
  <si>
    <t>Gesellschaftliche Strukturen</t>
  </si>
  <si>
    <t>Sind die Gesellschaftlichen Strukturen in ihrer Komplexität adäquat zu dem Unternehmenszweck und der Unternehmensgröße</t>
  </si>
  <si>
    <t>Managementangabe/-einschätzung</t>
  </si>
  <si>
    <t>Versand an Management</t>
  </si>
  <si>
    <t>Versand auch an Gesellschafter</t>
  </si>
  <si>
    <t>Ergebnisübersicht (je Bereich / gesamt); Ampellogik &lt;=&gt; Retail / Cyber-Chart</t>
  </si>
  <si>
    <t>Umsatz</t>
  </si>
  <si>
    <t>Rohertrag</t>
  </si>
  <si>
    <t>EBITDA</t>
  </si>
  <si>
    <t>EBIT</t>
  </si>
  <si>
    <t>EAT</t>
  </si>
  <si>
    <t>Forderungen aus Lieferungen und Leistungen</t>
  </si>
  <si>
    <t>Verbindlichkeiten aus Lieferungen und Leistungen</t>
  </si>
  <si>
    <t>Vorräte</t>
  </si>
  <si>
    <t>Anzahlungen an Kunden</t>
  </si>
  <si>
    <t>Erhaltene Anzahlungen</t>
  </si>
  <si>
    <t>Kasse / Liquide Mittel</t>
  </si>
  <si>
    <t>Zinstragende Verbindlichkeiten</t>
  </si>
  <si>
    <t>Cash Flow aus operativer Tätigkeit</t>
  </si>
  <si>
    <t>Cash Flow aus Investitionen</t>
  </si>
  <si>
    <t>Cash Flow aus finanzierender Tätigkeit</t>
  </si>
  <si>
    <t>Gewinn- und Verlustrechnung</t>
  </si>
  <si>
    <t>Erfolgsgrößen</t>
  </si>
  <si>
    <t>Weitere Wertangaben</t>
  </si>
  <si>
    <t>Bilanz</t>
  </si>
  <si>
    <t>Bilanzielles Eigenkapital</t>
  </si>
  <si>
    <t>Wirtschaftliches Eigenkapital</t>
  </si>
  <si>
    <t>Weitere Bilanzpositionen</t>
  </si>
  <si>
    <t>DIO</t>
  </si>
  <si>
    <t>Kapitalflussrechnung</t>
  </si>
  <si>
    <t>Eigenkapital negativ?</t>
  </si>
  <si>
    <t>Investitionstätigkeit</t>
  </si>
  <si>
    <t>operativer Cash Flow</t>
  </si>
  <si>
    <t>Branchen (Benchmarks?) &lt;=&gt; ggf in 2.0 // meist Nischenzugehörigkeit; Unternehmensgrösse &lt;=&gt; Aussagegehalt Datenbank (bedarf individuellem Assessment)</t>
  </si>
  <si>
    <t>No:</t>
  </si>
  <si>
    <t>Disclaimer (Vollständigkeit; Aussage nur nach H&amp;C Assessment der individuellen Situation des Unternehmens "vor Ort")</t>
  </si>
  <si>
    <t>Ergebnisblatt mit Detailsicht</t>
  </si>
  <si>
    <t>Tool nur via Link zugänglich</t>
  </si>
  <si>
    <t>Ja/Nein Antwort</t>
  </si>
  <si>
    <t>Bilanzsumme und EK</t>
  </si>
  <si>
    <t>Bilanzsumme und wirt. EK</t>
  </si>
  <si>
    <t>EK</t>
  </si>
  <si>
    <t>Zahlungsmittel und kurzfristige Verbindlichkeiten</t>
  </si>
  <si>
    <t>Zahlungsmittel , Forderungen LuL und kurzfristige Verbindlichkeiten</t>
  </si>
  <si>
    <t>Net Working Capital und Umsatz</t>
  </si>
  <si>
    <t>EBIT und Zinsaufwand</t>
  </si>
  <si>
    <t>Anlagevermögen</t>
  </si>
  <si>
    <t>Bilanzsumme</t>
  </si>
  <si>
    <t>Qualitative Faktoren</t>
  </si>
  <si>
    <t>Zinsaufwand</t>
  </si>
  <si>
    <t>Relevant</t>
  </si>
  <si>
    <t>Relative Gewichtung</t>
  </si>
  <si>
    <t>Bewertung der KPIs nach Unternehmensclustern (Retail, Industrie, Dienstleistung, Sonstige)</t>
  </si>
  <si>
    <t>Abhängigkeiten/Klumpen Risiken</t>
  </si>
  <si>
    <t>Meta</t>
  </si>
  <si>
    <t>KPI</t>
  </si>
  <si>
    <t>Ausprägung</t>
  </si>
  <si>
    <t>Bewertung</t>
  </si>
  <si>
    <t>Ja</t>
  </si>
  <si>
    <t>Betrachtungsfokus</t>
  </si>
  <si>
    <t>Relativer Anteil</t>
  </si>
  <si>
    <t>Nein</t>
  </si>
  <si>
    <t>1 - Sehr Schlecht</t>
  </si>
  <si>
    <t>2 - Schlecht</t>
  </si>
  <si>
    <t>3 - Neutral</t>
  </si>
  <si>
    <t>4 - Gut</t>
  </si>
  <si>
    <t>5 - Sehr Gut</t>
  </si>
  <si>
    <t>Kennzahl</t>
  </si>
  <si>
    <t>Gewichtete Bewertung</t>
  </si>
  <si>
    <t>Covenant Compliance in den letzten 12 Monaten?</t>
  </si>
  <si>
    <t>Prolongationen in den nächsten 12 Monaten?</t>
  </si>
  <si>
    <t>Refinanzierungen in den nächsten 12 Monaten?</t>
  </si>
  <si>
    <t>Ja/Nein</t>
  </si>
  <si>
    <t>Einschätzung</t>
  </si>
  <si>
    <t>Management Qualität</t>
  </si>
  <si>
    <t>Einordnung</t>
  </si>
  <si>
    <t>Preissegment</t>
  </si>
  <si>
    <t>Geographie</t>
  </si>
  <si>
    <t>Umsatzanteil mit Top 5 Kunden</t>
  </si>
  <si>
    <t>Volumen-Anteil mit Top 5 Lieferanten</t>
  </si>
  <si>
    <t>Ertrag/Rentabilität</t>
  </si>
  <si>
    <t>Finanzierungssituation</t>
  </si>
  <si>
    <t>Wirt. Eigenkapital-Quote</t>
  </si>
  <si>
    <t>Eigenkapital absolut (&gt;&lt;0)</t>
  </si>
  <si>
    <t>Handel</t>
  </si>
  <si>
    <t>Beweretung je Branche</t>
  </si>
  <si>
    <t>Dienstleistung</t>
  </si>
  <si>
    <t>Produzierende Industrie</t>
  </si>
  <si>
    <t xml:space="preserve">OHG  </t>
  </si>
  <si>
    <t xml:space="preserve">KG  </t>
  </si>
  <si>
    <t xml:space="preserve">GmbH &amp; Co. KG  </t>
  </si>
  <si>
    <t xml:space="preserve">AG &amp; Co. KG  </t>
  </si>
  <si>
    <t xml:space="preserve">GmbH  </t>
  </si>
  <si>
    <t xml:space="preserve">UG (haftungsbeschränkt)  </t>
  </si>
  <si>
    <t xml:space="preserve">AG  </t>
  </si>
  <si>
    <t xml:space="preserve">KGaA  </t>
  </si>
  <si>
    <t xml:space="preserve">SE  </t>
  </si>
  <si>
    <t>Rechtsformen</t>
  </si>
  <si>
    <t>OG</t>
  </si>
  <si>
    <t>UG</t>
  </si>
  <si>
    <t>Größer/Kleiner</t>
  </si>
  <si>
    <t>Größer</t>
  </si>
  <si>
    <t>Kleiner</t>
  </si>
  <si>
    <t>Höherer Wert ist besserer Wert</t>
  </si>
  <si>
    <t>Ergebnis</t>
  </si>
  <si>
    <t>Tieferer Wert ist besserer Wert</t>
  </si>
  <si>
    <t>Reichweiten</t>
  </si>
  <si>
    <t>Umsätze der letzten 4 oder 6 Jahre</t>
  </si>
  <si>
    <t>Umsätze und Roherträge</t>
  </si>
  <si>
    <t xml:space="preserve">Umsätze und EBITDA </t>
  </si>
  <si>
    <t>Umsätze und EBIT</t>
  </si>
  <si>
    <t>Umsätze und EAT</t>
  </si>
  <si>
    <t xml:space="preserve">EBIT, Anlagevermögen und NWC </t>
  </si>
  <si>
    <t>EBIT, EK und verzinsliches FK</t>
  </si>
  <si>
    <t>EAT und EK</t>
  </si>
  <si>
    <t>Wertung</t>
  </si>
  <si>
    <t>Multiplikator</t>
  </si>
  <si>
    <t>Relevante Kriterien</t>
  </si>
  <si>
    <t>Anzahl rel. Kriterien</t>
  </si>
  <si>
    <t>FCF und Umsatz</t>
  </si>
  <si>
    <t>Umsatz mit Top 5 Kunden</t>
  </si>
  <si>
    <t>Volumen mit Top 5 Lieferanten</t>
  </si>
  <si>
    <t>Komplexität der Gesellschaftlichen Strukturen</t>
  </si>
  <si>
    <t>1 - Probleme mit Produktqualität</t>
  </si>
  <si>
    <t>2 - Leichte Probleme mit Produktqualität</t>
  </si>
  <si>
    <t>3 - Keine Probleme mit Produktqualität</t>
  </si>
  <si>
    <t>4 - Gute Produktqualität</t>
  </si>
  <si>
    <t>5 - Sehr gute Produktqualität</t>
  </si>
  <si>
    <t>1 - Unzufrieden mit aktuelle Positionierung</t>
  </si>
  <si>
    <t>2 - Etwas unzufrieden mit aktueller Positionierung</t>
  </si>
  <si>
    <t>3 - Positionierung neutral</t>
  </si>
  <si>
    <t>4 - Zufrieden mit aktueller Positionierung</t>
  </si>
  <si>
    <t>5 - Zufrieden mit aktueller Positionierung</t>
  </si>
  <si>
    <t>1 - Unzufrieden mit Management Qualität</t>
  </si>
  <si>
    <t>2 - Etwas unzufrieden mit Management Qualität</t>
  </si>
  <si>
    <t>3 - Management Qualität neutral</t>
  </si>
  <si>
    <t>4 - Zufrieden mit Management Qualität</t>
  </si>
  <si>
    <t>5 - Zufrieden mit Management Qualität</t>
  </si>
  <si>
    <t>Investition</t>
  </si>
  <si>
    <t>1 - Investitionsstau gefährdet zukünftige Entwicklung</t>
  </si>
  <si>
    <t>2 - Leichter Investitionsstau, zukünfitge Entwicklung eingeschränkt</t>
  </si>
  <si>
    <t>3 - Kein Investitionsstau</t>
  </si>
  <si>
    <t>5 - Sehr gutes Investitionsniveau, Zukunftspotentiale gesichert</t>
  </si>
  <si>
    <t>4 - Gutes Investitionsniveau, Zukunftspotentiale können gehoben werden</t>
  </si>
  <si>
    <t>Investitionsniveau</t>
  </si>
  <si>
    <t>Gesellschaftsstruktur</t>
  </si>
  <si>
    <t>1 - Verhältnismäßig sehr Komplex</t>
  </si>
  <si>
    <t>2 - Verhältnismäßig komplex</t>
  </si>
  <si>
    <t>4 - Verhältnismäßig angemessene Komplexität</t>
  </si>
  <si>
    <t>5 - Verhältnismäßig optimale Komplexität</t>
  </si>
  <si>
    <t>FC 2025</t>
  </si>
  <si>
    <t>Lieferanten-/Kundensituation</t>
  </si>
  <si>
    <t>Was sollten wir sonst noch wissen?</t>
  </si>
  <si>
    <t>Hinweis: Bei Unternehmen mit relevanter Gesamtleistung geben Sie bitte die Gesamtleistung anstelle des Umsatzes an.</t>
  </si>
  <si>
    <t>Working Capital Reichweiten</t>
  </si>
  <si>
    <t>Days-Inventory-Outstanding (DIO)</t>
  </si>
  <si>
    <t>Days-Sales-Outstanding (DSO)</t>
  </si>
  <si>
    <t>Days-Payables-Outstanding (DPO)</t>
  </si>
  <si>
    <t xml:space="preserve">Verhältnismäßige Komplexität der gesellschaftlichen Struktur </t>
  </si>
  <si>
    <t>Einordnung der aktuellen Investitionssituation</t>
  </si>
  <si>
    <t>Umsatz mit Top Kunden</t>
  </si>
  <si>
    <t>Volumen mit Top Lieferanten</t>
  </si>
  <si>
    <t>Vereinbaren Sie jetzt einen Termin zum Review der Ergebnisse:</t>
  </si>
  <si>
    <t>Health Check - Allgemeine Angaben</t>
  </si>
  <si>
    <t>Health-Check: Vorwort</t>
  </si>
  <si>
    <r>
      <t xml:space="preserve">Das Ergebnis Ihres individuellen "H&amp;C Health Check" können Sie unter </t>
    </r>
    <r>
      <rPr>
        <b/>
        <sz val="11"/>
        <color theme="1"/>
        <rFont val="Aptos Narrow"/>
        <family val="2"/>
      </rPr>
      <t>"Ergebnis Health Check"</t>
    </r>
    <r>
      <rPr>
        <sz val="11"/>
        <color theme="1"/>
        <rFont val="Aptos Narrow"/>
        <family val="2"/>
        <scheme val="minor"/>
      </rPr>
      <t xml:space="preserve"> einsehen.</t>
    </r>
  </si>
  <si>
    <t>Der "H&amp;C Health Check" ist eine indikative Einschätzung zur aktuellen Lage Ihres Unternehmens.</t>
  </si>
  <si>
    <t>Health Check: Erste Einschätzung der aktuellen Lage Ihres Unternehmens</t>
  </si>
  <si>
    <t>5 - Top fit</t>
  </si>
  <si>
    <t>4 - Gesund</t>
  </si>
  <si>
    <t>1 - Kritisch</t>
  </si>
  <si>
    <t>2 - Schwach</t>
  </si>
  <si>
    <r>
      <t>Der "</t>
    </r>
    <r>
      <rPr>
        <b/>
        <sz val="11"/>
        <color theme="1"/>
        <rFont val="Aptos Narrow"/>
        <family val="2"/>
      </rPr>
      <t>H&amp;C Health Check</t>
    </r>
    <r>
      <rPr>
        <sz val="11"/>
        <color theme="1"/>
        <rFont val="Aptos Narrow"/>
        <family val="2"/>
        <scheme val="minor"/>
      </rPr>
      <t xml:space="preserve">" ist ein Tool zur </t>
    </r>
    <r>
      <rPr>
        <b/>
        <sz val="11"/>
        <color theme="1"/>
        <rFont val="Aptos Narrow"/>
        <family val="2"/>
        <scheme val="minor"/>
      </rPr>
      <t>Einschätzung der aktuellen finanzwirtschaftlichen Situation ihres Unternehmens.</t>
    </r>
  </si>
  <si>
    <t>Health-Check: Kurzanleitung</t>
  </si>
  <si>
    <r>
      <t xml:space="preserve">Bitte füllen Sie zuerst die </t>
    </r>
    <r>
      <rPr>
        <b/>
        <sz val="11"/>
        <color theme="1"/>
        <rFont val="Aptos Narrow"/>
        <family val="2"/>
      </rPr>
      <t xml:space="preserve">"Allgemeinen Angaben" </t>
    </r>
    <r>
      <rPr>
        <sz val="11"/>
        <color theme="1"/>
        <rFont val="Aptos Narrow"/>
        <family val="2"/>
        <scheme val="minor"/>
      </rPr>
      <t>zu Ihrem Unternehmen aus. Sie können selbstverständlich den "H&amp;C Health Check" auch anonym nutzen.</t>
    </r>
  </si>
  <si>
    <r>
      <t xml:space="preserve">Bitte geben Sie im nächsten Schritt in </t>
    </r>
    <r>
      <rPr>
        <b/>
        <sz val="11"/>
        <color theme="1"/>
        <rFont val="Aptos Narrow"/>
        <family val="2"/>
      </rPr>
      <t xml:space="preserve">"Eingabe Werte" </t>
    </r>
    <r>
      <rPr>
        <sz val="11"/>
        <color theme="1"/>
        <rFont val="Aptos Narrow"/>
        <family val="2"/>
        <scheme val="minor"/>
      </rPr>
      <t xml:space="preserve">möglichst viele der abgefragten Kennzahlen ein, um ein möglichst genaues Ergebnis zu erhalten. 
</t>
    </r>
  </si>
  <si>
    <t>Hinweie für eine uneingeschränkte Funktionsfähigkeit:</t>
  </si>
  <si>
    <t>Zellen zur Befüllung/Bearbeitung</t>
  </si>
  <si>
    <t>Zellen nicht zur Befüllung/Bearbeitung (funktionale Zellen)</t>
  </si>
  <si>
    <t>Name Ansprechpartner</t>
  </si>
  <si>
    <t>E-Mail Ansprechpartner</t>
  </si>
  <si>
    <t>Telefonnummer Ansprechpartner</t>
  </si>
  <si>
    <t>Jahresumsatz (in TEUR)</t>
  </si>
  <si>
    <t>Anzahl Mitarbeiter</t>
  </si>
  <si>
    <t>Health Check - Eingabe Werte (in TEUR)</t>
  </si>
  <si>
    <t>Besteht eine integrierte Unternehmensplanung?</t>
  </si>
  <si>
    <t>Erfolgt die Planung erfolgt auf Monatsbasis?</t>
  </si>
  <si>
    <t>Days Sales Outstanding (Debitorenreichweite)</t>
  </si>
  <si>
    <t>Days Payables Outstanding (Kreditorenreichweite)</t>
  </si>
  <si>
    <t>Days Inventory Outstanding (Lagerreichweite)</t>
  </si>
  <si>
    <r>
      <t>Durch den "</t>
    </r>
    <r>
      <rPr>
        <b/>
        <sz val="11"/>
        <color theme="1"/>
        <rFont val="Aptos Narrow"/>
        <family val="2"/>
        <scheme val="minor"/>
      </rPr>
      <t>H&amp;C Health Check</t>
    </r>
    <r>
      <rPr>
        <sz val="11"/>
        <color theme="1"/>
        <rFont val="Aptos Narrow"/>
        <family val="2"/>
        <scheme val="minor"/>
      </rPr>
      <t xml:space="preserve">" erhalten Sie in </t>
    </r>
    <r>
      <rPr>
        <b/>
        <sz val="11"/>
        <color theme="1"/>
        <rFont val="Aptos Narrow"/>
        <family val="2"/>
      </rPr>
      <t>wenigen Minuten</t>
    </r>
    <r>
      <rPr>
        <sz val="11"/>
        <color theme="1"/>
        <rFont val="Aptos Narrow"/>
        <family val="2"/>
        <scheme val="minor"/>
      </rPr>
      <t xml:space="preserve"> eine erste Einschätzung über die Lage Ihres Unternehmens. Gerne können Sie diesen </t>
    </r>
    <r>
      <rPr>
        <b/>
        <sz val="11"/>
        <color theme="1"/>
        <rFont val="Aptos Narrow"/>
        <family val="2"/>
        <scheme val="minor"/>
      </rPr>
      <t>im Nachgang mit uns vertiefen</t>
    </r>
    <r>
      <rPr>
        <sz val="11"/>
        <color theme="1"/>
        <rFont val="Aptos Narrow"/>
        <family val="2"/>
        <scheme val="minor"/>
      </rPr>
      <t>.</t>
    </r>
  </si>
  <si>
    <t>Umfasst Planung die nächsten zwei Geschäftsjahre?</t>
  </si>
  <si>
    <t>Sollten Sie nur die Lagerumschlagsgeschwindigkeit zur Verfügung haben geben Sie bitte 365/LUG an.</t>
  </si>
  <si>
    <t>Nicht ausgefüllte Felder führen zur Nicht-Berücksichtigung des KPI, die aus dieser Eingabe berechnet werden.</t>
  </si>
  <si>
    <r>
      <t>Zuletzt können Sie unter</t>
    </r>
    <r>
      <rPr>
        <b/>
        <sz val="11"/>
        <color theme="1"/>
        <rFont val="Aptos Narrow"/>
        <family val="2"/>
      </rPr>
      <t xml:space="preserve"> "Relevanz-Gewichtung-Parameter" </t>
    </r>
    <r>
      <rPr>
        <sz val="11"/>
        <color theme="1"/>
        <rFont val="Aptos Narrow"/>
        <family val="2"/>
        <scheme val="minor"/>
      </rPr>
      <t xml:space="preserve">einzelne KPIs aus der Bewertung ausschließen, sofern diese für Ihr Unternehmen nicht relevant sein sollten. Markieren Sie dafür diese KPIs als "nicht relevant". </t>
    </r>
  </si>
  <si>
    <t>Darüber hinaus können Sie die Gewichtung innerhalb der einzelnen Bereiche bei Bedarf auch anpassen, um deren bedeutung für Ihr Unternehmen besser zu reflektieren.</t>
  </si>
  <si>
    <t xml:space="preserve"> johannes.dachlauer@horn-company.de </t>
  </si>
  <si>
    <t>Mit einem hierauf aufbauenden H&amp;C Assessment der individuellen Situation Ihres Unternehmens lässt sich die Lage Ihres
Unternehmens vollständig und zuverlässig beurteilen.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</si>
</sst>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%"/>
  </numFmts>
  <fonts count="2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0"/>
      <name val="Aptos Narrow"/>
      <family val="2"/>
      <scheme val="minor"/>
    </font>
    <font>
      <b/>
      <u/>
      <sz val="11"/>
      <color indexed="9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indexed="9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rgb="FF00B050"/>
      <name val="Aptos Narrow"/>
      <family val="2"/>
      <scheme val="minor"/>
    </font>
    <font>
      <sz val="11"/>
      <color rgb="FF92D050"/>
      <name val="Aptos Narrow"/>
      <family val="2"/>
      <scheme val="minor"/>
    </font>
    <font>
      <sz val="11"/>
      <color rgb="FFFFFF00"/>
      <name val="Aptos Narrow"/>
      <family val="2"/>
      <scheme val="minor"/>
    </font>
    <font>
      <sz val="11"/>
      <color rgb="FFFFC000"/>
      <name val="Aptos Narrow"/>
      <family val="2"/>
      <scheme val="minor"/>
    </font>
    <font>
      <i/>
      <u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i/>
      <sz val="11"/>
      <color rgb="FFFF00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1"/>
      <name val="Aptos Narrow"/>
      <family val="2"/>
    </font>
    <font>
      <i/>
      <sz val="11"/>
      <color rgb="FFA20000"/>
      <name val="Aptos Narrow"/>
      <family val="2"/>
      <scheme val="minor"/>
    </font>
    <font>
      <i/>
      <sz val="9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/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0" borderId="1" xfId="0" applyBorder="1"/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2" fillId="2" borderId="1" xfId="0" applyFont="1" applyFill="1" applyBorder="1"/>
    <xf numFmtId="0" fontId="3" fillId="2" borderId="1" xfId="0" applyFont="1" applyFill="1" applyBorder="1"/>
    <xf numFmtId="0" fontId="1" fillId="0" borderId="0" xfId="0" applyFont="1"/>
    <xf numFmtId="0" fontId="4" fillId="0" borderId="0" xfId="0" applyFont="1"/>
    <xf numFmtId="0" fontId="0" fillId="0" borderId="5" xfId="0" applyBorder="1"/>
    <xf numFmtId="0" fontId="0" fillId="0" borderId="0" xfId="0" applyAlignment="1">
      <alignment horizontal="left" indent="1"/>
    </xf>
    <xf numFmtId="0" fontId="4" fillId="0" borderId="0" xfId="0" applyFont="1" applyAlignment="1">
      <alignment horizontal="left" vertical="top" wrapText="1"/>
    </xf>
    <xf numFmtId="0" fontId="6" fillId="0" borderId="0" xfId="0" applyFont="1"/>
    <xf numFmtId="0" fontId="0" fillId="0" borderId="0" xfId="0" applyAlignment="1">
      <alignment horizontal="left" indent="2"/>
    </xf>
    <xf numFmtId="0" fontId="1" fillId="5" borderId="1" xfId="0" applyFont="1" applyFill="1" applyBorder="1"/>
    <xf numFmtId="0" fontId="0" fillId="0" borderId="0" xfId="0" applyFill="1"/>
    <xf numFmtId="0" fontId="0" fillId="0" borderId="0" xfId="0" applyFill="1" applyAlignment="1">
      <alignment horizontal="left" indent="2"/>
    </xf>
    <xf numFmtId="0" fontId="0" fillId="0" borderId="0" xfId="0" applyFill="1" applyBorder="1"/>
    <xf numFmtId="9" fontId="0" fillId="0" borderId="0" xfId="0" applyNumberFormat="1"/>
    <xf numFmtId="0" fontId="2" fillId="6" borderId="6" xfId="0" applyFont="1" applyFill="1" applyBorder="1"/>
    <xf numFmtId="3" fontId="0" fillId="0" borderId="0" xfId="0" applyNumberFormat="1"/>
    <xf numFmtId="0" fontId="2" fillId="6" borderId="0" xfId="0" applyFont="1" applyFill="1" applyBorder="1"/>
    <xf numFmtId="0" fontId="0" fillId="3" borderId="2" xfId="0" applyFill="1" applyBorder="1" applyAlignment="1">
      <alignment horizontal="left" vertical="top" wrapText="1"/>
    </xf>
    <xf numFmtId="0" fontId="0" fillId="3" borderId="3" xfId="0" applyFill="1" applyBorder="1" applyAlignment="1">
      <alignment horizontal="left" vertical="top" wrapText="1"/>
    </xf>
    <xf numFmtId="0" fontId="0" fillId="3" borderId="7" xfId="0" applyFill="1" applyBorder="1" applyAlignment="1">
      <alignment horizontal="left" vertical="top" wrapText="1"/>
    </xf>
    <xf numFmtId="3" fontId="0" fillId="3" borderId="7" xfId="0" applyNumberFormat="1" applyFill="1" applyBorder="1" applyAlignment="1">
      <alignment horizontal="left" vertical="top" wrapText="1"/>
    </xf>
    <xf numFmtId="165" fontId="0" fillId="0" borderId="0" xfId="0" applyNumberFormat="1"/>
    <xf numFmtId="0" fontId="0" fillId="0" borderId="0" xfId="0" applyAlignment="1">
      <alignment horizontal="right"/>
    </xf>
    <xf numFmtId="0" fontId="3" fillId="2" borderId="8" xfId="0" applyFont="1" applyFill="1" applyBorder="1"/>
    <xf numFmtId="0" fontId="3" fillId="2" borderId="9" xfId="0" applyFont="1" applyFill="1" applyBorder="1"/>
    <xf numFmtId="0" fontId="3" fillId="2" borderId="10" xfId="0" applyFont="1" applyFill="1" applyBorder="1" applyAlignment="1">
      <alignment horizontal="center"/>
    </xf>
    <xf numFmtId="0" fontId="9" fillId="2" borderId="9" xfId="0" applyFont="1" applyFill="1" applyBorder="1" applyAlignment="1">
      <alignment horizontal="right"/>
    </xf>
    <xf numFmtId="0" fontId="9" fillId="2" borderId="12" xfId="0" applyFont="1" applyFill="1" applyBorder="1" applyAlignment="1">
      <alignment horizontal="right"/>
    </xf>
    <xf numFmtId="0" fontId="9" fillId="2" borderId="13" xfId="0" applyFont="1" applyFill="1" applyBorder="1" applyAlignment="1">
      <alignment horizontal="right"/>
    </xf>
    <xf numFmtId="0" fontId="3" fillId="2" borderId="0" xfId="0" applyFont="1" applyFill="1" applyBorder="1"/>
    <xf numFmtId="0" fontId="3" fillId="2" borderId="14" xfId="0" applyFont="1" applyFill="1" applyBorder="1"/>
    <xf numFmtId="165" fontId="0" fillId="3" borderId="7" xfId="0" applyNumberFormat="1" applyFill="1" applyBorder="1" applyAlignment="1">
      <alignment horizontal="left" vertical="top" wrapText="1"/>
    </xf>
    <xf numFmtId="0" fontId="0" fillId="7" borderId="1" xfId="0" applyFill="1" applyBorder="1"/>
    <xf numFmtId="4" fontId="0" fillId="0" borderId="0" xfId="0" applyNumberFormat="1" applyAlignment="1">
      <alignment horizontal="center"/>
    </xf>
    <xf numFmtId="0" fontId="0" fillId="3" borderId="3" xfId="0" applyFill="1" applyBorder="1" applyAlignment="1">
      <alignment horizontal="center" vertical="top" wrapText="1"/>
    </xf>
    <xf numFmtId="0" fontId="0" fillId="0" borderId="1" xfId="0" applyBorder="1" applyAlignment="1"/>
    <xf numFmtId="0" fontId="0" fillId="0" borderId="0" xfId="0" applyFill="1" applyAlignment="1">
      <alignment horizontal="right"/>
    </xf>
    <xf numFmtId="0" fontId="10" fillId="0" borderId="0" xfId="0" applyFont="1"/>
    <xf numFmtId="0" fontId="0" fillId="0" borderId="2" xfId="0" applyBorder="1" applyAlignment="1">
      <alignment vertical="top" wrapText="1"/>
    </xf>
    <xf numFmtId="0" fontId="4" fillId="0" borderId="0" xfId="0" applyFont="1" applyAlignment="1">
      <alignment horizontal="center"/>
    </xf>
    <xf numFmtId="0" fontId="15" fillId="8" borderId="14" xfId="0" applyFont="1" applyFill="1" applyBorder="1"/>
    <xf numFmtId="0" fontId="15" fillId="8" borderId="15" xfId="0" applyFont="1" applyFill="1" applyBorder="1"/>
    <xf numFmtId="0" fontId="15" fillId="8" borderId="16" xfId="0" applyFont="1" applyFill="1" applyBorder="1"/>
    <xf numFmtId="0" fontId="0" fillId="8" borderId="6" xfId="0" applyFill="1" applyBorder="1"/>
    <xf numFmtId="0" fontId="0" fillId="8" borderId="0" xfId="0" applyFill="1" applyBorder="1"/>
    <xf numFmtId="0" fontId="0" fillId="8" borderId="17" xfId="0" applyFill="1" applyBorder="1"/>
    <xf numFmtId="4" fontId="0" fillId="8" borderId="6" xfId="0" applyNumberFormat="1" applyFill="1" applyBorder="1"/>
    <xf numFmtId="16" fontId="0" fillId="8" borderId="6" xfId="0" applyNumberFormat="1" applyFill="1" applyBorder="1"/>
    <xf numFmtId="9" fontId="0" fillId="0" borderId="18" xfId="0" applyNumberFormat="1" applyBorder="1"/>
    <xf numFmtId="0" fontId="0" fillId="0" borderId="18" xfId="0" applyBorder="1"/>
    <xf numFmtId="4" fontId="0" fillId="0" borderId="18" xfId="0" applyNumberFormat="1" applyBorder="1"/>
    <xf numFmtId="0" fontId="0" fillId="8" borderId="0" xfId="0" applyFill="1"/>
    <xf numFmtId="9" fontId="0" fillId="8" borderId="0" xfId="0" applyNumberFormat="1" applyFill="1"/>
    <xf numFmtId="3" fontId="0" fillId="8" borderId="0" xfId="0" applyNumberFormat="1" applyFill="1"/>
    <xf numFmtId="164" fontId="0" fillId="8" borderId="0" xfId="0" applyNumberFormat="1" applyFill="1"/>
    <xf numFmtId="9" fontId="0" fillId="0" borderId="18" xfId="0" applyNumberFormat="1" applyFill="1" applyBorder="1"/>
    <xf numFmtId="0" fontId="0" fillId="0" borderId="18" xfId="0" applyFill="1" applyBorder="1"/>
    <xf numFmtId="4" fontId="0" fillId="0" borderId="18" xfId="0" applyNumberFormat="1" applyFill="1" applyBorder="1"/>
    <xf numFmtId="4" fontId="1" fillId="8" borderId="19" xfId="0" applyNumberFormat="1" applyFont="1" applyFill="1" applyBorder="1"/>
    <xf numFmtId="0" fontId="1" fillId="8" borderId="18" xfId="0" applyFont="1" applyFill="1" applyBorder="1"/>
    <xf numFmtId="0" fontId="1" fillId="8" borderId="20" xfId="0" applyFont="1" applyFill="1" applyBorder="1"/>
    <xf numFmtId="0" fontId="1" fillId="0" borderId="21" xfId="0" applyFont="1" applyBorder="1"/>
    <xf numFmtId="0" fontId="16" fillId="0" borderId="22" xfId="0" quotePrefix="1" applyFont="1" applyBorder="1"/>
    <xf numFmtId="0" fontId="1" fillId="0" borderId="22" xfId="0" applyFont="1" applyBorder="1"/>
    <xf numFmtId="0" fontId="17" fillId="0" borderId="22" xfId="0" applyFont="1" applyBorder="1"/>
    <xf numFmtId="9" fontId="1" fillId="0" borderId="18" xfId="0" applyNumberFormat="1" applyFont="1" applyBorder="1"/>
    <xf numFmtId="0" fontId="1" fillId="0" borderId="18" xfId="0" applyFont="1" applyBorder="1"/>
    <xf numFmtId="4" fontId="1" fillId="0" borderId="18" xfId="0" applyNumberFormat="1" applyFont="1" applyBorder="1"/>
    <xf numFmtId="165" fontId="0" fillId="3" borderId="0" xfId="0" applyNumberFormat="1" applyFill="1"/>
    <xf numFmtId="3" fontId="0" fillId="3" borderId="0" xfId="0" applyNumberFormat="1" applyFill="1"/>
    <xf numFmtId="164" fontId="0" fillId="3" borderId="0" xfId="0" applyNumberFormat="1" applyFill="1"/>
    <xf numFmtId="0" fontId="8" fillId="0" borderId="0" xfId="0" applyFont="1"/>
    <xf numFmtId="4" fontId="8" fillId="0" borderId="0" xfId="0" applyNumberFormat="1" applyFont="1" applyFill="1" applyAlignment="1">
      <alignment horizontal="center"/>
    </xf>
    <xf numFmtId="4" fontId="0" fillId="4" borderId="0" xfId="0" applyNumberFormat="1" applyFill="1"/>
    <xf numFmtId="3" fontId="0" fillId="0" borderId="0" xfId="0" applyNumberFormat="1" applyFill="1"/>
    <xf numFmtId="3" fontId="8" fillId="0" borderId="0" xfId="0" applyNumberFormat="1" applyFont="1" applyFill="1"/>
    <xf numFmtId="4" fontId="0" fillId="0" borderId="0" xfId="0" applyNumberFormat="1" applyFill="1"/>
    <xf numFmtId="4" fontId="0" fillId="3" borderId="0" xfId="0" applyNumberFormat="1" applyFill="1"/>
    <xf numFmtId="0" fontId="10" fillId="0" borderId="0" xfId="0" applyFont="1" applyFill="1" applyAlignment="1">
      <alignment horizontal="right"/>
    </xf>
    <xf numFmtId="9" fontId="0" fillId="3" borderId="0" xfId="0" applyNumberFormat="1" applyFill="1"/>
    <xf numFmtId="0" fontId="0" fillId="0" borderId="1" xfId="0" applyFill="1" applyBorder="1"/>
    <xf numFmtId="0" fontId="1" fillId="0" borderId="0" xfId="0" applyFont="1" applyFill="1" applyBorder="1"/>
    <xf numFmtId="0" fontId="0" fillId="4" borderId="1" xfId="0" applyFill="1" applyBorder="1" applyAlignment="1">
      <alignment horizontal="left" vertical="top" wrapText="1"/>
    </xf>
    <xf numFmtId="0" fontId="0" fillId="3" borderId="2" xfId="0" applyFill="1" applyBorder="1" applyAlignment="1">
      <alignment horizontal="left" vertical="top" wrapText="1"/>
    </xf>
    <xf numFmtId="0" fontId="0" fillId="3" borderId="3" xfId="0" applyFill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1" fillId="5" borderId="1" xfId="0" applyFont="1" applyFill="1" applyBorder="1" applyAlignment="1">
      <alignment horizontal="right"/>
    </xf>
    <xf numFmtId="0" fontId="0" fillId="0" borderId="0" xfId="0" applyFont="1" applyFill="1" applyAlignment="1">
      <alignment horizontal="left" indent="2"/>
    </xf>
    <xf numFmtId="0" fontId="0" fillId="0" borderId="0" xfId="0" applyBorder="1" applyAlignment="1">
      <alignment horizontal="left" vertical="top"/>
    </xf>
    <xf numFmtId="4" fontId="0" fillId="0" borderId="0" xfId="0" applyNumberFormat="1"/>
    <xf numFmtId="0" fontId="0" fillId="0" borderId="0" xfId="0" applyBorder="1" applyAlignment="1">
      <alignment horizontal="left" vertical="top" wrapText="1"/>
    </xf>
    <xf numFmtId="10" fontId="0" fillId="9" borderId="1" xfId="0" applyNumberFormat="1" applyFill="1" applyBorder="1" applyAlignment="1">
      <alignment horizontal="left" vertical="top" wrapText="1"/>
    </xf>
    <xf numFmtId="0" fontId="18" fillId="0" borderId="23" xfId="0" applyFont="1" applyBorder="1"/>
    <xf numFmtId="0" fontId="18" fillId="0" borderId="22" xfId="0" applyFont="1" applyBorder="1"/>
    <xf numFmtId="0" fontId="0" fillId="0" borderId="0" xfId="0" applyAlignment="1"/>
    <xf numFmtId="3" fontId="0" fillId="9" borderId="1" xfId="0" applyNumberFormat="1" applyFill="1" applyBorder="1" applyAlignment="1" applyProtection="1">
      <alignment horizontal="center" vertical="top" wrapText="1"/>
      <protection hidden="1"/>
    </xf>
    <xf numFmtId="0" fontId="0" fillId="3" borderId="1" xfId="0" applyFill="1" applyBorder="1" applyAlignment="1" applyProtection="1">
      <alignment horizontal="left" vertical="top" wrapText="1"/>
      <protection hidden="1"/>
    </xf>
    <xf numFmtId="0" fontId="0" fillId="3" borderId="1" xfId="0" applyFill="1" applyBorder="1" applyAlignment="1" applyProtection="1">
      <alignment horizontal="center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Protection="1">
      <protection hidden="1"/>
    </xf>
    <xf numFmtId="0" fontId="3" fillId="2" borderId="1" xfId="0" applyFont="1" applyFill="1" applyBorder="1" applyProtection="1">
      <protection hidden="1"/>
    </xf>
    <xf numFmtId="3" fontId="0" fillId="9" borderId="1" xfId="0" applyNumberFormat="1" applyFill="1" applyBorder="1" applyAlignment="1" applyProtection="1">
      <alignment horizontal="center" vertical="center" wrapText="1"/>
      <protection hidden="1"/>
    </xf>
    <xf numFmtId="0" fontId="2" fillId="2" borderId="1" xfId="0" applyFont="1" applyFill="1" applyBorder="1" applyProtection="1">
      <protection hidden="1"/>
    </xf>
    <xf numFmtId="0" fontId="0" fillId="0" borderId="1" xfId="0" applyBorder="1" applyAlignment="1" applyProtection="1">
      <alignment horizontal="left" vertical="top" wrapText="1"/>
      <protection hidden="1"/>
    </xf>
    <xf numFmtId="0" fontId="4" fillId="0" borderId="0" xfId="0" applyFont="1" applyProtection="1">
      <protection hidden="1"/>
    </xf>
    <xf numFmtId="0" fontId="0" fillId="0" borderId="2" xfId="0" applyBorder="1" applyAlignment="1" applyProtection="1">
      <alignment horizontal="left" vertical="top" wrapText="1"/>
      <protection hidden="1"/>
    </xf>
    <xf numFmtId="0" fontId="0" fillId="0" borderId="3" xfId="0" applyBorder="1" applyAlignment="1" applyProtection="1">
      <alignment horizontal="left" vertical="top" wrapText="1"/>
      <protection hidden="1"/>
    </xf>
    <xf numFmtId="0" fontId="0" fillId="0" borderId="1" xfId="0" applyBorder="1" applyProtection="1">
      <protection hidden="1"/>
    </xf>
    <xf numFmtId="0" fontId="0" fillId="0" borderId="1" xfId="0" applyFill="1" applyBorder="1" applyProtection="1">
      <protection hidden="1"/>
    </xf>
    <xf numFmtId="0" fontId="0" fillId="0" borderId="1" xfId="0" applyBorder="1" applyAlignment="1" applyProtection="1">
      <alignment horizontal="left" vertical="top"/>
      <protection hidden="1"/>
    </xf>
    <xf numFmtId="0" fontId="2" fillId="2" borderId="1" xfId="0" applyFont="1" applyFill="1" applyBorder="1" applyProtection="1">
      <protection locked="0"/>
    </xf>
    <xf numFmtId="0" fontId="0" fillId="3" borderId="1" xfId="0" applyFill="1" applyBorder="1" applyAlignment="1" applyProtection="1">
      <alignment horizontal="left" vertical="top" wrapText="1"/>
      <protection locked="0"/>
    </xf>
    <xf numFmtId="0" fontId="0" fillId="4" borderId="1" xfId="0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0" fillId="0" borderId="0" xfId="0" applyProtection="1">
      <protection locked="0"/>
    </xf>
    <xf numFmtId="0" fontId="3" fillId="2" borderId="1" xfId="0" applyFont="1" applyFill="1" applyBorder="1" applyProtection="1"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0" fillId="0" borderId="1" xfId="0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3" fontId="0" fillId="0" borderId="0" xfId="0" applyNumberFormat="1" applyFill="1" applyBorder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 vertical="top" wrapText="1"/>
    </xf>
    <xf numFmtId="0" fontId="0" fillId="0" borderId="0" xfId="0" applyAlignment="1" applyProtection="1">
      <alignment horizontal="center" vertical="top" wrapText="1"/>
      <protection hidden="1"/>
    </xf>
    <xf numFmtId="9" fontId="0" fillId="0" borderId="0" xfId="0" applyNumberFormat="1" applyAlignment="1" applyProtection="1">
      <alignment horizontal="center" vertical="top" wrapText="1"/>
      <protection hidden="1"/>
    </xf>
    <xf numFmtId="0" fontId="0" fillId="0" borderId="0" xfId="0" applyAlignment="1" applyProtection="1">
      <alignment horizontal="center"/>
      <protection hidden="1"/>
    </xf>
    <xf numFmtId="0" fontId="3" fillId="2" borderId="1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 vertical="top" wrapText="1"/>
      <protection locked="0"/>
    </xf>
    <xf numFmtId="9" fontId="0" fillId="4" borderId="1" xfId="0" applyNumberFormat="1" applyFill="1" applyBorder="1" applyAlignment="1" applyProtection="1">
      <alignment horizontal="center" vertical="top" wrapText="1"/>
      <protection locked="0"/>
    </xf>
    <xf numFmtId="9" fontId="0" fillId="0" borderId="0" xfId="0" applyNumberFormat="1" applyAlignment="1" applyProtection="1">
      <alignment horizontal="center" vertical="top" wrapText="1"/>
      <protection locked="0"/>
    </xf>
    <xf numFmtId="0" fontId="0" fillId="0" borderId="0" xfId="0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horizontal="center"/>
      <protection locked="0"/>
    </xf>
    <xf numFmtId="9" fontId="0" fillId="3" borderId="1" xfId="0" applyNumberFormat="1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horizontal="center" vertical="top" wrapText="1"/>
    </xf>
    <xf numFmtId="3" fontId="10" fillId="0" borderId="0" xfId="0" applyNumberFormat="1" applyFont="1" applyAlignment="1">
      <alignment horizontal="center"/>
    </xf>
    <xf numFmtId="3" fontId="0" fillId="0" borderId="0" xfId="0" applyNumberFormat="1" applyAlignment="1" applyProtection="1">
      <alignment horizontal="center"/>
      <protection hidden="1"/>
    </xf>
    <xf numFmtId="3" fontId="2" fillId="2" borderId="1" xfId="0" applyNumberFormat="1" applyFont="1" applyFill="1" applyBorder="1" applyAlignment="1">
      <alignment horizontal="center"/>
    </xf>
    <xf numFmtId="3" fontId="0" fillId="3" borderId="1" xfId="0" applyNumberFormat="1" applyFill="1" applyBorder="1" applyAlignment="1">
      <alignment horizontal="center" vertical="top" wrapText="1"/>
    </xf>
    <xf numFmtId="3" fontId="0" fillId="3" borderId="1" xfId="0" applyNumberFormat="1" applyFill="1" applyBorder="1" applyAlignment="1" applyProtection="1">
      <alignment horizontal="center" vertical="top" wrapText="1"/>
      <protection hidden="1"/>
    </xf>
    <xf numFmtId="3" fontId="0" fillId="0" borderId="0" xfId="0" applyNumberFormat="1" applyAlignment="1" applyProtection="1">
      <alignment horizontal="center" vertical="top" wrapText="1"/>
      <protection hidden="1"/>
    </xf>
    <xf numFmtId="3" fontId="10" fillId="0" borderId="0" xfId="0" applyNumberFormat="1" applyFont="1" applyAlignment="1" applyProtection="1">
      <alignment horizontal="center"/>
      <protection hidden="1"/>
    </xf>
    <xf numFmtId="3" fontId="3" fillId="2" borderId="1" xfId="0" applyNumberFormat="1" applyFont="1" applyFill="1" applyBorder="1" applyAlignment="1" applyProtection="1">
      <alignment horizontal="center"/>
      <protection hidden="1"/>
    </xf>
    <xf numFmtId="3" fontId="0" fillId="9" borderId="1" xfId="0" applyNumberFormat="1" applyFill="1" applyBorder="1" applyAlignment="1" applyProtection="1">
      <alignment horizontal="center"/>
      <protection hidden="1"/>
    </xf>
    <xf numFmtId="3" fontId="0" fillId="0" borderId="0" xfId="0" applyNumberFormat="1" applyAlignment="1">
      <alignment horizontal="center" vertical="top" wrapText="1"/>
    </xf>
    <xf numFmtId="3" fontId="0" fillId="0" borderId="0" xfId="0" applyNumberFormat="1" applyAlignment="1">
      <alignment horizontal="center"/>
    </xf>
    <xf numFmtId="9" fontId="0" fillId="9" borderId="1" xfId="0" applyNumberFormat="1" applyFill="1" applyBorder="1" applyAlignment="1" applyProtection="1">
      <alignment horizontal="center" vertical="top" wrapText="1"/>
      <protection hidden="1"/>
    </xf>
    <xf numFmtId="0" fontId="20" fillId="0" borderId="22" xfId="0" applyFont="1" applyBorder="1"/>
    <xf numFmtId="9" fontId="0" fillId="4" borderId="1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vertical="center"/>
      <protection hidden="1"/>
    </xf>
    <xf numFmtId="164" fontId="0" fillId="9" borderId="1" xfId="0" applyNumberFormat="1" applyFill="1" applyBorder="1" applyAlignment="1" applyProtection="1">
      <alignment horizontal="center" vertical="top" wrapText="1"/>
      <protection hidden="1"/>
    </xf>
    <xf numFmtId="0" fontId="11" fillId="0" borderId="1" xfId="0" applyFont="1" applyBorder="1" applyProtection="1">
      <protection hidden="1"/>
    </xf>
    <xf numFmtId="0" fontId="12" fillId="0" borderId="1" xfId="0" applyFont="1" applyBorder="1" applyProtection="1">
      <protection hidden="1"/>
    </xf>
    <xf numFmtId="0" fontId="13" fillId="0" borderId="1" xfId="0" applyFont="1" applyBorder="1" applyProtection="1">
      <protection hidden="1"/>
    </xf>
    <xf numFmtId="0" fontId="14" fillId="0" borderId="1" xfId="0" applyFont="1" applyBorder="1" applyProtection="1">
      <protection hidden="1"/>
    </xf>
    <xf numFmtId="0" fontId="10" fillId="0" borderId="1" xfId="0" applyFont="1" applyBorder="1" applyProtection="1">
      <protection hidden="1"/>
    </xf>
    <xf numFmtId="0" fontId="0" fillId="0" borderId="5" xfId="0" applyBorder="1" applyProtection="1">
      <protection hidden="1"/>
    </xf>
    <xf numFmtId="0" fontId="11" fillId="0" borderId="4" xfId="0" applyFont="1" applyBorder="1" applyProtection="1">
      <protection hidden="1"/>
    </xf>
    <xf numFmtId="0" fontId="12" fillId="0" borderId="4" xfId="0" applyFont="1" applyBorder="1" applyProtection="1">
      <protection hidden="1"/>
    </xf>
    <xf numFmtId="0" fontId="13" fillId="0" borderId="4" xfId="0" applyFont="1" applyBorder="1" applyProtection="1">
      <protection hidden="1"/>
    </xf>
    <xf numFmtId="0" fontId="14" fillId="0" borderId="4" xfId="0" applyFont="1" applyBorder="1" applyProtection="1">
      <protection hidden="1"/>
    </xf>
    <xf numFmtId="0" fontId="10" fillId="0" borderId="4" xfId="0" applyFont="1" applyBorder="1" applyProtection="1">
      <protection hidden="1"/>
    </xf>
    <xf numFmtId="0" fontId="21" fillId="0" borderId="14" xfId="0" applyFont="1" applyBorder="1"/>
    <xf numFmtId="0" fontId="21" fillId="0" borderId="15" xfId="0" applyFont="1" applyBorder="1"/>
    <xf numFmtId="0" fontId="21" fillId="0" borderId="16" xfId="0" applyFont="1" applyBorder="1"/>
    <xf numFmtId="0" fontId="1" fillId="0" borderId="0" xfId="0" applyFont="1" applyFill="1" applyBorder="1" applyAlignment="1">
      <alignment horizontal="left"/>
    </xf>
    <xf numFmtId="0" fontId="0" fillId="0" borderId="0" xfId="0" applyFont="1" applyAlignment="1">
      <alignment wrapText="1"/>
    </xf>
    <xf numFmtId="0" fontId="21" fillId="0" borderId="24" xfId="0" applyFont="1" applyBorder="1" applyAlignment="1">
      <alignment wrapText="1"/>
    </xf>
    <xf numFmtId="0" fontId="21" fillId="0" borderId="25" xfId="0" applyFont="1" applyBorder="1"/>
    <xf numFmtId="0" fontId="21" fillId="0" borderId="26" xfId="0" applyFont="1" applyBorder="1"/>
    <xf numFmtId="0" fontId="0" fillId="0" borderId="1" xfId="0" applyBorder="1" applyAlignment="1">
      <alignment horizontal="left" vertical="top"/>
    </xf>
    <xf numFmtId="0" fontId="1" fillId="5" borderId="1" xfId="0" applyFont="1" applyFill="1" applyBorder="1" applyAlignment="1">
      <alignment horizontal="center"/>
    </xf>
    <xf numFmtId="0" fontId="0" fillId="3" borderId="2" xfId="0" applyFill="1" applyBorder="1" applyAlignment="1" applyProtection="1">
      <alignment horizontal="left" vertical="top" wrapText="1"/>
      <protection hidden="1"/>
    </xf>
    <xf numFmtId="0" fontId="0" fillId="3" borderId="3" xfId="0" applyFill="1" applyBorder="1" applyAlignment="1" applyProtection="1">
      <alignment horizontal="left" vertical="top" wrapText="1"/>
      <protection hidden="1"/>
    </xf>
    <xf numFmtId="0" fontId="3" fillId="2" borderId="1" xfId="0" applyFont="1" applyFill="1" applyBorder="1" applyAlignment="1" applyProtection="1">
      <alignment horizontal="left"/>
      <protection hidden="1"/>
    </xf>
    <xf numFmtId="0" fontId="2" fillId="2" borderId="1" xfId="0" applyFont="1" applyFill="1" applyBorder="1" applyAlignment="1" applyProtection="1">
      <alignment horizontal="left"/>
      <protection hidden="1"/>
    </xf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0" fillId="4" borderId="1" xfId="0" applyFill="1" applyBorder="1" applyAlignment="1" applyProtection="1">
      <alignment horizontal="left" vertical="top" wrapText="1"/>
      <protection locked="0"/>
    </xf>
    <xf numFmtId="0" fontId="0" fillId="4" borderId="1" xfId="0" applyFill="1" applyBorder="1" applyAlignment="1" applyProtection="1">
      <alignment horizontal="left" vertical="top" wrapText="1"/>
      <protection locked="0"/>
    </xf>
    <xf numFmtId="3" fontId="0" fillId="4" borderId="1" xfId="0" applyNumberFormat="1" applyFill="1" applyBorder="1" applyProtection="1">
      <protection locked="0"/>
    </xf>
    <xf numFmtId="9" fontId="0" fillId="4" borderId="1" xfId="0" applyNumberFormat="1" applyFill="1" applyBorder="1" applyProtection="1">
      <protection locked="0"/>
    </xf>
    <xf numFmtId="0" fontId="0" fillId="4" borderId="1" xfId="0" applyFill="1" applyBorder="1" applyAlignment="1" applyProtection="1">
      <alignment horizontal="center"/>
      <protection locked="0"/>
    </xf>
  </cellXfs>
  <cellStyles count="1">
    <cellStyle name="Normal" xfId="0" builtinId="0"/>
  </cellStyles>
  <dxfs count="3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1</xdr:row>
      <xdr:rowOff>0</xdr:rowOff>
    </xdr:from>
    <xdr:to>
      <xdr:col>5</xdr:col>
      <xdr:colOff>28762</xdr:colOff>
      <xdr:row>2</xdr:row>
      <xdr:rowOff>88803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FAE0082-82B1-4B3A-93B5-04D8F8FBE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80975"/>
          <a:ext cx="1930587" cy="2697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32543</xdr:colOff>
      <xdr:row>1</xdr:row>
      <xdr:rowOff>0</xdr:rowOff>
    </xdr:from>
    <xdr:to>
      <xdr:col>3</xdr:col>
      <xdr:colOff>46224</xdr:colOff>
      <xdr:row>2</xdr:row>
      <xdr:rowOff>106266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06DA68E-5795-48D9-B33C-6F3E14882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137" y="166688"/>
          <a:ext cx="1936937" cy="2666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19239</xdr:colOff>
      <xdr:row>1</xdr:row>
      <xdr:rowOff>0</xdr:rowOff>
    </xdr:from>
    <xdr:to>
      <xdr:col>2</xdr:col>
      <xdr:colOff>476999</xdr:colOff>
      <xdr:row>2</xdr:row>
      <xdr:rowOff>87309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1E2496F-11B1-4ECB-AAC1-3D78E048B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533" y="179294"/>
          <a:ext cx="1936937" cy="2666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19050</xdr:rowOff>
    </xdr:from>
    <xdr:to>
      <xdr:col>1</xdr:col>
      <xdr:colOff>1943660</xdr:colOff>
      <xdr:row>2</xdr:row>
      <xdr:rowOff>106359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82D51F3-F1DE-49DF-9760-0C11DEA5B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200025"/>
          <a:ext cx="1934135" cy="2682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40700</xdr:colOff>
      <xdr:row>0</xdr:row>
      <xdr:rowOff>144955</xdr:rowOff>
    </xdr:from>
    <xdr:to>
      <xdr:col>2</xdr:col>
      <xdr:colOff>1706453</xdr:colOff>
      <xdr:row>2</xdr:row>
      <xdr:rowOff>68845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F57B83B-9952-4AD6-BF41-951FF9085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7593" y="144955"/>
          <a:ext cx="1921114" cy="2745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85C5C-2A9E-47CF-9487-45D8925B9338}">
  <sheetPr codeName="Sheet1"/>
  <dimension ref="B3:B30"/>
  <sheetViews>
    <sheetView topLeftCell="A4" workbookViewId="0">
      <selection activeCell="B18" sqref="B18"/>
    </sheetView>
  </sheetViews>
  <sheetFormatPr defaultColWidth="10.90625" defaultRowHeight="14.5" x14ac:dyDescent="0.35"/>
  <sheetData>
    <row r="3" spans="2:2" x14ac:dyDescent="0.35">
      <c r="B3" s="7" t="s">
        <v>0</v>
      </c>
    </row>
    <row r="5" spans="2:2" x14ac:dyDescent="0.35">
      <c r="B5" t="s">
        <v>74</v>
      </c>
    </row>
    <row r="6" spans="2:2" x14ac:dyDescent="0.35">
      <c r="B6" t="s">
        <v>75</v>
      </c>
    </row>
    <row r="7" spans="2:2" x14ac:dyDescent="0.35">
      <c r="B7" t="s">
        <v>123</v>
      </c>
    </row>
    <row r="9" spans="2:2" x14ac:dyDescent="0.35">
      <c r="B9" t="s">
        <v>2</v>
      </c>
    </row>
    <row r="10" spans="2:2" x14ac:dyDescent="0.35">
      <c r="B10" t="s">
        <v>76</v>
      </c>
    </row>
    <row r="12" spans="2:2" x14ac:dyDescent="0.35">
      <c r="B12" t="s">
        <v>47</v>
      </c>
    </row>
    <row r="14" spans="2:2" x14ac:dyDescent="0.35">
      <c r="B14" t="s">
        <v>21</v>
      </c>
    </row>
    <row r="16" spans="2:2" x14ac:dyDescent="0.35">
      <c r="B16" t="s">
        <v>3</v>
      </c>
    </row>
    <row r="18" spans="2:2" x14ac:dyDescent="0.35">
      <c r="B18" t="s">
        <v>106</v>
      </c>
    </row>
    <row r="20" spans="2:2" x14ac:dyDescent="0.35">
      <c r="B20" t="s">
        <v>1</v>
      </c>
    </row>
    <row r="22" spans="2:2" x14ac:dyDescent="0.35">
      <c r="B22" t="s">
        <v>107</v>
      </c>
    </row>
    <row r="24" spans="2:2" x14ac:dyDescent="0.35">
      <c r="B24" t="s">
        <v>108</v>
      </c>
    </row>
    <row r="28" spans="2:2" x14ac:dyDescent="0.35">
      <c r="B28" t="s">
        <v>105</v>
      </c>
    </row>
    <row r="30" spans="2:2" x14ac:dyDescent="0.35">
      <c r="B30" t="s">
        <v>104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CC8F2-BE22-43EF-AD80-7BE1C8C99523}">
  <sheetPr>
    <tabColor rgb="FFFF0000"/>
  </sheetPr>
  <dimension ref="A1:AH56"/>
  <sheetViews>
    <sheetView showGridLines="0" zoomScale="115" zoomScaleNormal="115" workbookViewId="0">
      <selection activeCell="B18" sqref="B18"/>
    </sheetView>
  </sheetViews>
  <sheetFormatPr defaultColWidth="8.7265625" defaultRowHeight="14.5" x14ac:dyDescent="0.35"/>
  <cols>
    <col min="2" max="2" width="45.6328125" bestFit="1" customWidth="1"/>
    <col min="3" max="3" width="16.90625" style="19" customWidth="1"/>
    <col min="4" max="4" width="13.1796875" style="19" bestFit="1" customWidth="1"/>
    <col min="5" max="5" width="8.90625" bestFit="1" customWidth="1"/>
    <col min="10" max="10" width="9.6328125" bestFit="1" customWidth="1"/>
    <col min="14" max="14" width="9.90625" bestFit="1" customWidth="1"/>
    <col min="15" max="15" width="12.6328125" bestFit="1" customWidth="1"/>
    <col min="16" max="16" width="9.90625" bestFit="1" customWidth="1"/>
    <col min="17" max="17" width="12.6328125" bestFit="1" customWidth="1"/>
    <col min="18" max="18" width="9.90625" bestFit="1" customWidth="1"/>
    <col min="19" max="19" width="12.6328125" bestFit="1" customWidth="1"/>
    <col min="20" max="20" width="9.90625" bestFit="1" customWidth="1"/>
    <col min="21" max="21" width="11.54296875" bestFit="1" customWidth="1"/>
    <col min="22" max="22" width="2.6328125" customWidth="1"/>
    <col min="23" max="23" width="3.6328125" bestFit="1" customWidth="1"/>
    <col min="25" max="25" width="11.54296875" bestFit="1" customWidth="1"/>
    <col min="26" max="32" width="12.6328125" bestFit="1" customWidth="1"/>
    <col min="33" max="33" width="2.6328125" customWidth="1"/>
    <col min="34" max="34" width="3.6328125" bestFit="1" customWidth="1"/>
  </cols>
  <sheetData>
    <row r="1" spans="1:34" x14ac:dyDescent="0.35">
      <c r="C1"/>
      <c r="D1"/>
    </row>
    <row r="2" spans="1:34" x14ac:dyDescent="0.35">
      <c r="B2" s="7" t="s">
        <v>125</v>
      </c>
      <c r="C2"/>
      <c r="D2"/>
    </row>
    <row r="3" spans="1:34" x14ac:dyDescent="0.35">
      <c r="C3"/>
      <c r="D3"/>
    </row>
    <row r="4" spans="1:34" x14ac:dyDescent="0.35">
      <c r="B4" s="6" t="s">
        <v>56</v>
      </c>
      <c r="C4" s="36" t="s">
        <v>155</v>
      </c>
      <c r="D4"/>
    </row>
    <row r="5" spans="1:34" x14ac:dyDescent="0.35">
      <c r="C5"/>
      <c r="D5"/>
      <c r="N5" s="6" t="s">
        <v>174</v>
      </c>
      <c r="Y5" s="6" t="s">
        <v>176</v>
      </c>
    </row>
    <row r="6" spans="1:34" x14ac:dyDescent="0.35">
      <c r="B6" s="27" t="s">
        <v>126</v>
      </c>
      <c r="C6" s="27" t="s">
        <v>127</v>
      </c>
      <c r="D6" s="27" t="s">
        <v>171</v>
      </c>
      <c r="E6" s="27">
        <v>5</v>
      </c>
      <c r="F6" s="29">
        <v>4</v>
      </c>
      <c r="G6" s="29">
        <v>3</v>
      </c>
      <c r="H6" s="29">
        <v>2</v>
      </c>
      <c r="I6" s="27">
        <v>1</v>
      </c>
      <c r="J6" s="27" t="s">
        <v>128</v>
      </c>
      <c r="N6" s="1">
        <v>5</v>
      </c>
      <c r="O6" s="39">
        <v>4</v>
      </c>
      <c r="P6" s="39">
        <v>4</v>
      </c>
      <c r="Q6" s="39">
        <v>3</v>
      </c>
      <c r="R6" s="39">
        <v>3</v>
      </c>
      <c r="S6" s="39">
        <v>2</v>
      </c>
      <c r="T6" s="39">
        <v>2</v>
      </c>
      <c r="U6" s="1">
        <v>1</v>
      </c>
      <c r="W6" s="1" t="s">
        <v>175</v>
      </c>
      <c r="Y6" s="1">
        <v>5</v>
      </c>
      <c r="Z6" s="39">
        <v>4</v>
      </c>
      <c r="AA6" s="39">
        <v>4</v>
      </c>
      <c r="AB6" s="39">
        <v>3</v>
      </c>
      <c r="AC6" s="39">
        <v>3</v>
      </c>
      <c r="AD6" s="39">
        <v>2</v>
      </c>
      <c r="AE6" s="39">
        <v>2</v>
      </c>
      <c r="AF6" s="1">
        <v>1</v>
      </c>
      <c r="AH6" s="1" t="s">
        <v>175</v>
      </c>
    </row>
    <row r="7" spans="1:34" x14ac:dyDescent="0.35">
      <c r="B7" s="21" t="s">
        <v>151</v>
      </c>
      <c r="C7" s="23"/>
      <c r="D7" s="23"/>
      <c r="E7" s="23"/>
      <c r="F7" s="23"/>
      <c r="G7" s="23"/>
      <c r="H7" s="23"/>
      <c r="I7" s="23"/>
      <c r="J7" s="22"/>
      <c r="N7" s="26" t="s">
        <v>170</v>
      </c>
      <c r="O7" s="26" t="s">
        <v>169</v>
      </c>
      <c r="P7" s="26" t="s">
        <v>170</v>
      </c>
      <c r="Q7" s="26" t="s">
        <v>169</v>
      </c>
      <c r="R7" s="26" t="s">
        <v>170</v>
      </c>
      <c r="S7" s="26" t="s">
        <v>169</v>
      </c>
      <c r="T7" s="26" t="s">
        <v>170</v>
      </c>
      <c r="U7" s="26" t="s">
        <v>169</v>
      </c>
      <c r="Y7" s="26" t="s">
        <v>169</v>
      </c>
      <c r="Z7" s="26" t="s">
        <v>170</v>
      </c>
      <c r="AA7" s="26" t="s">
        <v>169</v>
      </c>
      <c r="AB7" s="26" t="s">
        <v>170</v>
      </c>
      <c r="AC7" s="26" t="s">
        <v>169</v>
      </c>
      <c r="AD7" s="26" t="s">
        <v>170</v>
      </c>
      <c r="AE7" s="26" t="s">
        <v>169</v>
      </c>
      <c r="AF7" s="26" t="s">
        <v>170</v>
      </c>
    </row>
    <row r="8" spans="1:34" x14ac:dyDescent="0.35">
      <c r="A8">
        <v>1</v>
      </c>
      <c r="B8" t="s">
        <v>7</v>
      </c>
      <c r="C8" s="79" t="str">
        <f>'Relevanz-Gewichtung-Parameter'!I8</f>
        <v/>
      </c>
      <c r="D8" s="72" t="s">
        <v>172</v>
      </c>
      <c r="E8" s="72">
        <v>0.08</v>
      </c>
      <c r="F8" s="72">
        <v>0.06</v>
      </c>
      <c r="G8" s="72">
        <v>0.04</v>
      </c>
      <c r="H8" s="72">
        <v>0.02</v>
      </c>
      <c r="I8" s="72">
        <v>0</v>
      </c>
      <c r="J8" s="37" t="str">
        <f>+IF(D8="Größer",W8,IF(D8="Kleiner",AH8,"n.a."))</f>
        <v>n/a</v>
      </c>
      <c r="N8" s="80">
        <f>+E8</f>
        <v>0.08</v>
      </c>
      <c r="O8" s="80">
        <f>+N8-0.0001</f>
        <v>7.9899999999999999E-2</v>
      </c>
      <c r="P8" s="80">
        <f>+F8</f>
        <v>0.06</v>
      </c>
      <c r="Q8" s="80">
        <f>+P8-0.0001</f>
        <v>5.9899999999999995E-2</v>
      </c>
      <c r="R8" s="80">
        <f>+G8</f>
        <v>0.04</v>
      </c>
      <c r="S8" s="80">
        <f>+R8-0.0001</f>
        <v>3.9899999999999998E-2</v>
      </c>
      <c r="T8" s="80">
        <f>+H8</f>
        <v>0.02</v>
      </c>
      <c r="U8" s="80">
        <f>I8</f>
        <v>0</v>
      </c>
      <c r="V8" s="14"/>
      <c r="W8" s="40" t="str">
        <f>IF(ISNUMBER($C8),IF($C8&gt;=N8,N$6,IF(AND($C8&gt;=P8,$C8&lt;=O8),P$6,IF(AND($C8&gt;=R8,$C8&lt;Q8),R$6,IF(AND($C8&gt;=T8,$C8&lt;S8),T$6,U$6)))),"n/a")</f>
        <v>n/a</v>
      </c>
      <c r="X8" s="14"/>
      <c r="Y8" s="80">
        <f>N8</f>
        <v>0.08</v>
      </c>
      <c r="Z8" s="80">
        <f t="shared" ref="Z8:Z56" si="0">O8</f>
        <v>7.9899999999999999E-2</v>
      </c>
      <c r="AA8" s="80">
        <f t="shared" ref="AA8:AA56" si="1">P8</f>
        <v>0.06</v>
      </c>
      <c r="AB8" s="80">
        <f t="shared" ref="AB8:AB56" si="2">Q8</f>
        <v>5.9899999999999995E-2</v>
      </c>
      <c r="AC8" s="80">
        <f t="shared" ref="AC8:AC56" si="3">R8</f>
        <v>0.04</v>
      </c>
      <c r="AD8" s="80">
        <f t="shared" ref="AD8:AD56" si="4">S8</f>
        <v>3.9899999999999998E-2</v>
      </c>
      <c r="AE8" s="80">
        <f t="shared" ref="AE8:AE56" si="5">T8</f>
        <v>0.02</v>
      </c>
      <c r="AF8" s="80">
        <f t="shared" ref="AF8:AF56" si="6">U8</f>
        <v>0</v>
      </c>
      <c r="AH8" s="40" t="str">
        <f t="shared" ref="AH8:AH18" si="7">IF(ISNUMBER($C8),IF($C8&lt;=Y8,Y$6,IF(AND($C8&lt;=AA8,$C8&gt;Z8),AA$6,IF(AND($C8&lt;=AC8,$C8&gt;AB8),AC$6,IF(AND($C8&lt;=AF8,$C8&gt;AD8),AE$6,AF$6)))),"n/a")</f>
        <v>n/a</v>
      </c>
    </row>
    <row r="9" spans="1:34" x14ac:dyDescent="0.35">
      <c r="A9">
        <v>2</v>
      </c>
      <c r="B9" t="s">
        <v>25</v>
      </c>
      <c r="C9" s="79" t="str">
        <f>'Relevanz-Gewichtung-Parameter'!I10</f>
        <v/>
      </c>
      <c r="D9" s="72" t="s">
        <v>172</v>
      </c>
      <c r="E9" s="72">
        <v>0.55000000000000004</v>
      </c>
      <c r="F9" s="72">
        <v>0.5</v>
      </c>
      <c r="G9" s="72">
        <v>0.45</v>
      </c>
      <c r="H9" s="72">
        <v>0.4</v>
      </c>
      <c r="I9" s="72">
        <v>0.3</v>
      </c>
      <c r="J9" s="37" t="str">
        <f t="shared" ref="J9:J55" si="8">+IF(D9="Größer",W9,IF(D9="Kleiner",AH9,"n.a."))</f>
        <v>n/a</v>
      </c>
      <c r="N9" s="80">
        <f t="shared" ref="N9:N56" si="9">+E9</f>
        <v>0.55000000000000004</v>
      </c>
      <c r="O9" s="80">
        <f t="shared" ref="O9:O56" si="10">+N9-0.0001</f>
        <v>0.54990000000000006</v>
      </c>
      <c r="P9" s="80">
        <f t="shared" ref="P9:P56" si="11">+F9</f>
        <v>0.5</v>
      </c>
      <c r="Q9" s="80">
        <f t="shared" ref="Q9:Q56" si="12">+P9-0.0001</f>
        <v>0.49990000000000001</v>
      </c>
      <c r="R9" s="80">
        <f t="shared" ref="R9:R56" si="13">+G9</f>
        <v>0.45</v>
      </c>
      <c r="S9" s="80">
        <f t="shared" ref="S9:S56" si="14">+R9-0.0001</f>
        <v>0.44990000000000002</v>
      </c>
      <c r="T9" s="80">
        <f t="shared" ref="T9:T56" si="15">+H9</f>
        <v>0.4</v>
      </c>
      <c r="U9" s="80">
        <f t="shared" ref="U9:U56" si="16">I9</f>
        <v>0.3</v>
      </c>
      <c r="V9" s="14"/>
      <c r="W9" s="40" t="str">
        <f t="shared" ref="W9:W56" si="17">IF(ISNUMBER($C9),IF($C9&gt;=N9,N$6,IF(AND($C9&gt;=P9,$C9&lt;=O9),P$6,IF(AND($C9&gt;=R9,$C9&lt;Q9),R$6,IF(AND($C9&gt;=T9,$C9&lt;S9),T$6,U$6)))),"n/a")</f>
        <v>n/a</v>
      </c>
      <c r="X9" s="14"/>
      <c r="Y9" s="80">
        <f t="shared" ref="Y9:Y56" si="18">N9</f>
        <v>0.55000000000000004</v>
      </c>
      <c r="Z9" s="80">
        <f t="shared" si="0"/>
        <v>0.54990000000000006</v>
      </c>
      <c r="AA9" s="80">
        <f t="shared" si="1"/>
        <v>0.5</v>
      </c>
      <c r="AB9" s="80">
        <f t="shared" si="2"/>
        <v>0.49990000000000001</v>
      </c>
      <c r="AC9" s="80">
        <f t="shared" si="3"/>
        <v>0.45</v>
      </c>
      <c r="AD9" s="80">
        <f t="shared" si="4"/>
        <v>0.44990000000000002</v>
      </c>
      <c r="AE9" s="80">
        <f t="shared" si="5"/>
        <v>0.4</v>
      </c>
      <c r="AF9" s="80">
        <f t="shared" si="6"/>
        <v>0.3</v>
      </c>
      <c r="AH9" s="40" t="str">
        <f t="shared" si="7"/>
        <v>n/a</v>
      </c>
    </row>
    <row r="10" spans="1:34" x14ac:dyDescent="0.35">
      <c r="A10">
        <v>4</v>
      </c>
      <c r="B10" t="s">
        <v>19</v>
      </c>
      <c r="C10" s="19" t="str">
        <f>+'Relevanz-Gewichtung-Parameter'!I12</f>
        <v/>
      </c>
      <c r="D10" s="72" t="s">
        <v>172</v>
      </c>
      <c r="E10" s="72">
        <v>0.12</v>
      </c>
      <c r="F10" s="72">
        <v>0.1</v>
      </c>
      <c r="G10" s="72">
        <v>0.08</v>
      </c>
      <c r="H10" s="72">
        <v>0.04</v>
      </c>
      <c r="I10" s="72">
        <v>0</v>
      </c>
      <c r="J10" s="37" t="str">
        <f t="shared" si="8"/>
        <v>n/a</v>
      </c>
      <c r="N10" s="94">
        <f t="shared" si="9"/>
        <v>0.12</v>
      </c>
      <c r="O10" s="94">
        <f t="shared" si="10"/>
        <v>0.11989999999999999</v>
      </c>
      <c r="P10" s="94">
        <f t="shared" si="11"/>
        <v>0.1</v>
      </c>
      <c r="Q10" s="94">
        <f t="shared" si="12"/>
        <v>9.9900000000000003E-2</v>
      </c>
      <c r="R10" s="94">
        <f t="shared" si="13"/>
        <v>0.08</v>
      </c>
      <c r="S10" s="94">
        <f t="shared" si="14"/>
        <v>7.9899999999999999E-2</v>
      </c>
      <c r="T10" s="94">
        <f t="shared" si="15"/>
        <v>0.04</v>
      </c>
      <c r="U10" s="94">
        <f t="shared" si="16"/>
        <v>0</v>
      </c>
      <c r="W10" s="26" t="str">
        <f t="shared" si="17"/>
        <v>n/a</v>
      </c>
      <c r="Y10" s="94">
        <f t="shared" si="18"/>
        <v>0.12</v>
      </c>
      <c r="Z10" s="94">
        <f t="shared" si="0"/>
        <v>0.11989999999999999</v>
      </c>
      <c r="AA10" s="94">
        <f t="shared" si="1"/>
        <v>0.1</v>
      </c>
      <c r="AB10" s="94">
        <f t="shared" si="2"/>
        <v>9.9900000000000003E-2</v>
      </c>
      <c r="AC10" s="94">
        <f t="shared" si="3"/>
        <v>0.08</v>
      </c>
      <c r="AD10" s="94">
        <f t="shared" si="4"/>
        <v>7.9899999999999999E-2</v>
      </c>
      <c r="AE10" s="94">
        <f t="shared" si="5"/>
        <v>0.04</v>
      </c>
      <c r="AF10" s="94">
        <f t="shared" si="6"/>
        <v>0</v>
      </c>
      <c r="AH10" s="26" t="str">
        <f t="shared" si="7"/>
        <v>n/a</v>
      </c>
    </row>
    <row r="11" spans="1:34" x14ac:dyDescent="0.35">
      <c r="A11">
        <v>6</v>
      </c>
      <c r="B11" t="s">
        <v>20</v>
      </c>
      <c r="C11" s="78" t="str">
        <f>'Relevanz-Gewichtung-Parameter'!I14</f>
        <v/>
      </c>
      <c r="D11" s="72" t="s">
        <v>172</v>
      </c>
      <c r="E11" s="72">
        <v>0.08</v>
      </c>
      <c r="F11" s="72">
        <v>0.06</v>
      </c>
      <c r="G11" s="72">
        <v>0.04</v>
      </c>
      <c r="H11" s="72">
        <v>0.02</v>
      </c>
      <c r="I11" s="72">
        <v>0</v>
      </c>
      <c r="J11" s="37" t="str">
        <f t="shared" si="8"/>
        <v>n/a</v>
      </c>
      <c r="N11" s="80">
        <f t="shared" si="9"/>
        <v>0.08</v>
      </c>
      <c r="O11" s="80">
        <f t="shared" si="10"/>
        <v>7.9899999999999999E-2</v>
      </c>
      <c r="P11" s="80">
        <f t="shared" si="11"/>
        <v>0.06</v>
      </c>
      <c r="Q11" s="80">
        <f t="shared" si="12"/>
        <v>5.9899999999999995E-2</v>
      </c>
      <c r="R11" s="80">
        <f t="shared" si="13"/>
        <v>0.04</v>
      </c>
      <c r="S11" s="80">
        <f t="shared" si="14"/>
        <v>3.9899999999999998E-2</v>
      </c>
      <c r="T11" s="80">
        <f t="shared" si="15"/>
        <v>0.02</v>
      </c>
      <c r="U11" s="80">
        <f t="shared" si="16"/>
        <v>0</v>
      </c>
      <c r="V11" s="14"/>
      <c r="W11" s="40" t="str">
        <f t="shared" si="17"/>
        <v>n/a</v>
      </c>
      <c r="X11" s="14"/>
      <c r="Y11" s="80">
        <f t="shared" si="18"/>
        <v>0.08</v>
      </c>
      <c r="Z11" s="80">
        <f t="shared" si="0"/>
        <v>7.9899999999999999E-2</v>
      </c>
      <c r="AA11" s="80">
        <f t="shared" si="1"/>
        <v>0.06</v>
      </c>
      <c r="AB11" s="80">
        <f t="shared" si="2"/>
        <v>5.9899999999999995E-2</v>
      </c>
      <c r="AC11" s="80">
        <f t="shared" si="3"/>
        <v>0.04</v>
      </c>
      <c r="AD11" s="80">
        <f t="shared" si="4"/>
        <v>3.9899999999999998E-2</v>
      </c>
      <c r="AE11" s="80">
        <f t="shared" si="5"/>
        <v>0.02</v>
      </c>
      <c r="AF11" s="80">
        <f t="shared" si="6"/>
        <v>0</v>
      </c>
      <c r="AH11" s="40" t="str">
        <f t="shared" si="7"/>
        <v>n/a</v>
      </c>
    </row>
    <row r="12" spans="1:34" x14ac:dyDescent="0.35">
      <c r="A12">
        <v>8</v>
      </c>
      <c r="B12" t="s">
        <v>22</v>
      </c>
      <c r="C12" s="78" t="str">
        <f>'Relevanz-Gewichtung-Parameter'!I16</f>
        <v/>
      </c>
      <c r="D12" s="72" t="s">
        <v>172</v>
      </c>
      <c r="E12" s="72">
        <v>0.05</v>
      </c>
      <c r="F12" s="72" cm="1">
        <f t="array" ref="F12">_xlfn.XLOOKUP(1,(Branchen!$B$1:$B$2975=$C$4)*(Branchen!$C$1:$C$2975=$B12),Branchen!F$1:F$2975,,0)</f>
        <v>0.04</v>
      </c>
      <c r="G12" s="72" cm="1">
        <f t="array" ref="G12">_xlfn.XLOOKUP(1,(Branchen!$B$1:$B$2975=$C$4)*(Branchen!$C$1:$C$2975=$B12),Branchen!H$1:H$2975,,0)</f>
        <v>0.03</v>
      </c>
      <c r="H12" s="72">
        <v>0.02</v>
      </c>
      <c r="I12" s="72">
        <v>0</v>
      </c>
      <c r="J12" s="37" t="str">
        <f t="shared" si="8"/>
        <v>n/a</v>
      </c>
      <c r="N12" s="80">
        <f t="shared" si="9"/>
        <v>0.05</v>
      </c>
      <c r="O12" s="80">
        <f t="shared" si="10"/>
        <v>4.99E-2</v>
      </c>
      <c r="P12" s="80">
        <f t="shared" si="11"/>
        <v>0.04</v>
      </c>
      <c r="Q12" s="80">
        <f t="shared" si="12"/>
        <v>3.9899999999999998E-2</v>
      </c>
      <c r="R12" s="80">
        <f t="shared" si="13"/>
        <v>0.03</v>
      </c>
      <c r="S12" s="80">
        <f t="shared" si="14"/>
        <v>2.9899999999999999E-2</v>
      </c>
      <c r="T12" s="80">
        <f t="shared" si="15"/>
        <v>0.02</v>
      </c>
      <c r="U12" s="80">
        <f t="shared" si="16"/>
        <v>0</v>
      </c>
      <c r="V12" s="14"/>
      <c r="W12" s="40" t="str">
        <f t="shared" si="17"/>
        <v>n/a</v>
      </c>
      <c r="X12" s="14"/>
      <c r="Y12" s="80">
        <f t="shared" si="18"/>
        <v>0.05</v>
      </c>
      <c r="Z12" s="80">
        <f t="shared" si="0"/>
        <v>4.99E-2</v>
      </c>
      <c r="AA12" s="80">
        <f t="shared" si="1"/>
        <v>0.04</v>
      </c>
      <c r="AB12" s="80">
        <f t="shared" si="2"/>
        <v>3.9899999999999998E-2</v>
      </c>
      <c r="AC12" s="80">
        <f t="shared" si="3"/>
        <v>0.03</v>
      </c>
      <c r="AD12" s="80">
        <f t="shared" si="4"/>
        <v>2.9899999999999999E-2</v>
      </c>
      <c r="AE12" s="80">
        <f t="shared" si="5"/>
        <v>0.02</v>
      </c>
      <c r="AF12" s="80">
        <f t="shared" si="6"/>
        <v>0</v>
      </c>
      <c r="AH12" s="40" t="str">
        <f t="shared" si="7"/>
        <v>n/a</v>
      </c>
    </row>
    <row r="13" spans="1:34" x14ac:dyDescent="0.35">
      <c r="A13">
        <v>9</v>
      </c>
      <c r="B13" t="s">
        <v>36</v>
      </c>
      <c r="C13" s="78" t="str">
        <f>'Relevanz-Gewichtung-Parameter'!I18</f>
        <v/>
      </c>
      <c r="D13" s="72" t="s">
        <v>172</v>
      </c>
      <c r="E13" s="72">
        <v>0.15</v>
      </c>
      <c r="F13" s="72">
        <v>0.12</v>
      </c>
      <c r="G13" s="72">
        <v>0.1</v>
      </c>
      <c r="H13" s="72">
        <v>0.08</v>
      </c>
      <c r="I13" s="72">
        <v>0.04</v>
      </c>
      <c r="J13" s="37" t="str">
        <f t="shared" si="8"/>
        <v>n/a</v>
      </c>
      <c r="N13" s="80">
        <f t="shared" si="9"/>
        <v>0.15</v>
      </c>
      <c r="O13" s="80">
        <f t="shared" si="10"/>
        <v>0.14990000000000001</v>
      </c>
      <c r="P13" s="80">
        <f t="shared" si="11"/>
        <v>0.12</v>
      </c>
      <c r="Q13" s="80">
        <f t="shared" si="12"/>
        <v>0.11989999999999999</v>
      </c>
      <c r="R13" s="80">
        <f t="shared" si="13"/>
        <v>0.1</v>
      </c>
      <c r="S13" s="80">
        <f t="shared" si="14"/>
        <v>9.9900000000000003E-2</v>
      </c>
      <c r="T13" s="80">
        <f t="shared" si="15"/>
        <v>0.08</v>
      </c>
      <c r="U13" s="80">
        <f t="shared" si="16"/>
        <v>0.04</v>
      </c>
      <c r="V13" s="14"/>
      <c r="W13" s="40" t="str">
        <f t="shared" si="17"/>
        <v>n/a</v>
      </c>
      <c r="X13" s="14"/>
      <c r="Y13" s="80">
        <f t="shared" si="18"/>
        <v>0.15</v>
      </c>
      <c r="Z13" s="80">
        <f t="shared" si="0"/>
        <v>0.14990000000000001</v>
      </c>
      <c r="AA13" s="80">
        <f t="shared" si="1"/>
        <v>0.12</v>
      </c>
      <c r="AB13" s="80">
        <f t="shared" si="2"/>
        <v>0.11989999999999999</v>
      </c>
      <c r="AC13" s="80">
        <f t="shared" si="3"/>
        <v>0.1</v>
      </c>
      <c r="AD13" s="80">
        <f t="shared" si="4"/>
        <v>9.9900000000000003E-2</v>
      </c>
      <c r="AE13" s="80">
        <f t="shared" si="5"/>
        <v>0.08</v>
      </c>
      <c r="AF13" s="80">
        <f t="shared" si="6"/>
        <v>0.04</v>
      </c>
      <c r="AH13" s="40" t="str">
        <f t="shared" si="7"/>
        <v>n/a</v>
      </c>
    </row>
    <row r="14" spans="1:34" x14ac:dyDescent="0.35">
      <c r="A14">
        <v>10</v>
      </c>
      <c r="B14" t="s">
        <v>23</v>
      </c>
      <c r="C14" s="19" t="str">
        <f>'Relevanz-Gewichtung-Parameter'!I20</f>
        <v/>
      </c>
      <c r="D14" s="72" t="s">
        <v>172</v>
      </c>
      <c r="E14" s="72">
        <v>0.1</v>
      </c>
      <c r="F14" s="72">
        <v>0.08</v>
      </c>
      <c r="G14" s="72">
        <v>0.06</v>
      </c>
      <c r="H14" s="72">
        <v>0.04</v>
      </c>
      <c r="I14" s="72">
        <v>0.02</v>
      </c>
      <c r="J14" s="37" t="str">
        <f t="shared" si="8"/>
        <v>n/a</v>
      </c>
      <c r="N14" s="94">
        <f t="shared" si="9"/>
        <v>0.1</v>
      </c>
      <c r="O14" s="94">
        <f t="shared" si="10"/>
        <v>9.9900000000000003E-2</v>
      </c>
      <c r="P14" s="94">
        <f t="shared" si="11"/>
        <v>0.08</v>
      </c>
      <c r="Q14" s="94">
        <f t="shared" si="12"/>
        <v>7.9899999999999999E-2</v>
      </c>
      <c r="R14" s="94">
        <f t="shared" si="13"/>
        <v>0.06</v>
      </c>
      <c r="S14" s="94">
        <f t="shared" si="14"/>
        <v>5.9899999999999995E-2</v>
      </c>
      <c r="T14" s="94">
        <f t="shared" si="15"/>
        <v>0.04</v>
      </c>
      <c r="U14" s="94">
        <f t="shared" si="16"/>
        <v>0.02</v>
      </c>
      <c r="W14" s="26" t="str">
        <f t="shared" si="17"/>
        <v>n/a</v>
      </c>
      <c r="Y14" s="94">
        <f t="shared" si="18"/>
        <v>0.1</v>
      </c>
      <c r="Z14" s="94">
        <f t="shared" si="0"/>
        <v>9.9900000000000003E-2</v>
      </c>
      <c r="AA14" s="94">
        <f t="shared" si="1"/>
        <v>0.08</v>
      </c>
      <c r="AB14" s="94">
        <f t="shared" si="2"/>
        <v>7.9899999999999999E-2</v>
      </c>
      <c r="AC14" s="94">
        <f t="shared" si="3"/>
        <v>0.06</v>
      </c>
      <c r="AD14" s="94">
        <f t="shared" si="4"/>
        <v>5.9899999999999995E-2</v>
      </c>
      <c r="AE14" s="94">
        <f t="shared" si="5"/>
        <v>0.04</v>
      </c>
      <c r="AF14" s="94">
        <f t="shared" si="6"/>
        <v>0.02</v>
      </c>
      <c r="AH14" s="26" t="str">
        <f t="shared" si="7"/>
        <v>n/a</v>
      </c>
    </row>
    <row r="15" spans="1:34" x14ac:dyDescent="0.35">
      <c r="A15">
        <v>11</v>
      </c>
      <c r="B15" t="s">
        <v>24</v>
      </c>
      <c r="C15" s="78" t="str">
        <f>'Relevanz-Gewichtung-Parameter'!I22</f>
        <v/>
      </c>
      <c r="D15" s="72" t="s">
        <v>172</v>
      </c>
      <c r="E15" s="72">
        <v>0.1</v>
      </c>
      <c r="F15" s="72">
        <v>0.08</v>
      </c>
      <c r="G15" s="72">
        <v>0.06</v>
      </c>
      <c r="H15" s="72">
        <v>0.04</v>
      </c>
      <c r="I15" s="72">
        <v>0.02</v>
      </c>
      <c r="J15" s="37" t="str">
        <f t="shared" si="8"/>
        <v>n/a</v>
      </c>
      <c r="N15" s="80">
        <f t="shared" si="9"/>
        <v>0.1</v>
      </c>
      <c r="O15" s="80">
        <f t="shared" si="10"/>
        <v>9.9900000000000003E-2</v>
      </c>
      <c r="P15" s="80">
        <f t="shared" si="11"/>
        <v>0.08</v>
      </c>
      <c r="Q15" s="80">
        <f t="shared" si="12"/>
        <v>7.9899999999999999E-2</v>
      </c>
      <c r="R15" s="80">
        <f t="shared" si="13"/>
        <v>0.06</v>
      </c>
      <c r="S15" s="80">
        <f t="shared" si="14"/>
        <v>5.9899999999999995E-2</v>
      </c>
      <c r="T15" s="80">
        <f t="shared" si="15"/>
        <v>0.04</v>
      </c>
      <c r="U15" s="80">
        <f t="shared" si="16"/>
        <v>0.02</v>
      </c>
      <c r="V15" s="14"/>
      <c r="W15" s="40" t="str">
        <f t="shared" si="17"/>
        <v>n/a</v>
      </c>
      <c r="X15" s="14"/>
      <c r="Y15" s="80">
        <f t="shared" si="18"/>
        <v>0.1</v>
      </c>
      <c r="Z15" s="80">
        <f t="shared" si="0"/>
        <v>9.9900000000000003E-2</v>
      </c>
      <c r="AA15" s="80">
        <f t="shared" si="1"/>
        <v>0.08</v>
      </c>
      <c r="AB15" s="80">
        <f t="shared" si="2"/>
        <v>7.9899999999999999E-2</v>
      </c>
      <c r="AC15" s="80">
        <f t="shared" si="3"/>
        <v>0.06</v>
      </c>
      <c r="AD15" s="80">
        <f t="shared" si="4"/>
        <v>5.9899999999999995E-2</v>
      </c>
      <c r="AE15" s="80">
        <f t="shared" si="5"/>
        <v>0.04</v>
      </c>
      <c r="AF15" s="80">
        <f t="shared" si="6"/>
        <v>0.02</v>
      </c>
      <c r="AH15" s="40" t="str">
        <f t="shared" si="7"/>
        <v>n/a</v>
      </c>
    </row>
    <row r="16" spans="1:34" x14ac:dyDescent="0.35">
      <c r="B16" s="21" t="s">
        <v>95</v>
      </c>
      <c r="C16" s="24"/>
      <c r="D16" s="24"/>
      <c r="E16" s="35"/>
      <c r="F16" s="35"/>
      <c r="G16" s="35"/>
      <c r="H16" s="35"/>
      <c r="I16" s="35"/>
      <c r="J16" s="38"/>
      <c r="N16" s="80">
        <f t="shared" si="9"/>
        <v>0</v>
      </c>
      <c r="O16" s="80">
        <f t="shared" si="10"/>
        <v>-1E-4</v>
      </c>
      <c r="P16" s="80">
        <f t="shared" si="11"/>
        <v>0</v>
      </c>
      <c r="Q16" s="80">
        <f t="shared" si="12"/>
        <v>-1E-4</v>
      </c>
      <c r="R16" s="80">
        <f t="shared" si="13"/>
        <v>0</v>
      </c>
      <c r="S16" s="80">
        <f t="shared" si="14"/>
        <v>-1E-4</v>
      </c>
      <c r="T16" s="80">
        <f t="shared" si="15"/>
        <v>0</v>
      </c>
      <c r="U16" s="80">
        <f t="shared" si="16"/>
        <v>0</v>
      </c>
      <c r="V16" s="14"/>
      <c r="W16" s="40" t="str">
        <f t="shared" si="17"/>
        <v>n/a</v>
      </c>
      <c r="X16" s="14"/>
      <c r="Y16" s="80">
        <f t="shared" si="18"/>
        <v>0</v>
      </c>
      <c r="Z16" s="80">
        <f t="shared" si="0"/>
        <v>-1E-4</v>
      </c>
      <c r="AA16" s="80">
        <f t="shared" si="1"/>
        <v>0</v>
      </c>
      <c r="AB16" s="80">
        <f t="shared" si="2"/>
        <v>-1E-4</v>
      </c>
      <c r="AC16" s="80">
        <f t="shared" si="3"/>
        <v>0</v>
      </c>
      <c r="AD16" s="80">
        <f t="shared" si="4"/>
        <v>-1E-4</v>
      </c>
      <c r="AE16" s="80">
        <f t="shared" si="5"/>
        <v>0</v>
      </c>
      <c r="AF16" s="80">
        <f t="shared" si="6"/>
        <v>0</v>
      </c>
      <c r="AH16" s="40" t="str">
        <f t="shared" si="7"/>
        <v>n/a</v>
      </c>
    </row>
    <row r="17" spans="1:34" x14ac:dyDescent="0.35">
      <c r="A17">
        <v>1</v>
      </c>
      <c r="B17" t="s">
        <v>34</v>
      </c>
      <c r="C17" s="78" t="str">
        <f>'Relevanz-Gewichtung-Parameter'!I29</f>
        <v/>
      </c>
      <c r="D17" s="72" t="s">
        <v>172</v>
      </c>
      <c r="E17" s="72">
        <v>0.5</v>
      </c>
      <c r="F17" s="72">
        <v>0.4</v>
      </c>
      <c r="G17" s="72">
        <v>0.3</v>
      </c>
      <c r="H17" s="72">
        <v>0.25</v>
      </c>
      <c r="I17" s="72">
        <v>0.1</v>
      </c>
      <c r="J17" s="37" t="str">
        <f t="shared" si="8"/>
        <v>n/a</v>
      </c>
      <c r="N17" s="80">
        <f t="shared" si="9"/>
        <v>0.5</v>
      </c>
      <c r="O17" s="80">
        <f t="shared" si="10"/>
        <v>0.49990000000000001</v>
      </c>
      <c r="P17" s="80">
        <f t="shared" si="11"/>
        <v>0.4</v>
      </c>
      <c r="Q17" s="80">
        <f t="shared" si="12"/>
        <v>0.39990000000000003</v>
      </c>
      <c r="R17" s="80">
        <f t="shared" si="13"/>
        <v>0.3</v>
      </c>
      <c r="S17" s="80">
        <f t="shared" si="14"/>
        <v>0.2999</v>
      </c>
      <c r="T17" s="80">
        <f t="shared" si="15"/>
        <v>0.25</v>
      </c>
      <c r="U17" s="80">
        <f t="shared" si="16"/>
        <v>0.1</v>
      </c>
      <c r="V17" s="14"/>
      <c r="W17" s="40" t="str">
        <f t="shared" si="17"/>
        <v>n/a</v>
      </c>
      <c r="X17" s="14"/>
      <c r="Y17" s="80">
        <f t="shared" si="18"/>
        <v>0.5</v>
      </c>
      <c r="Z17" s="80">
        <f t="shared" si="0"/>
        <v>0.49990000000000001</v>
      </c>
      <c r="AA17" s="80">
        <f t="shared" si="1"/>
        <v>0.4</v>
      </c>
      <c r="AB17" s="80">
        <f t="shared" si="2"/>
        <v>0.39990000000000003</v>
      </c>
      <c r="AC17" s="80">
        <f t="shared" si="3"/>
        <v>0.3</v>
      </c>
      <c r="AD17" s="80">
        <f t="shared" si="4"/>
        <v>0.2999</v>
      </c>
      <c r="AE17" s="80">
        <f t="shared" si="5"/>
        <v>0.25</v>
      </c>
      <c r="AF17" s="80">
        <f t="shared" si="6"/>
        <v>0.1</v>
      </c>
      <c r="AH17" s="40" t="str">
        <f t="shared" si="7"/>
        <v>n/a</v>
      </c>
    </row>
    <row r="18" spans="1:34" x14ac:dyDescent="0.35">
      <c r="A18">
        <v>2</v>
      </c>
      <c r="B18" t="s">
        <v>153</v>
      </c>
      <c r="C18" s="19" t="str">
        <f>+'Relevanz-Gewichtung-Parameter'!I30</f>
        <v/>
      </c>
      <c r="D18" s="72" t="s">
        <v>172</v>
      </c>
      <c r="E18" s="72">
        <v>0.6</v>
      </c>
      <c r="F18" s="72">
        <v>0.5</v>
      </c>
      <c r="G18" s="72">
        <v>0.4</v>
      </c>
      <c r="H18" s="72">
        <v>0.25</v>
      </c>
      <c r="I18" s="72">
        <v>0.1</v>
      </c>
      <c r="J18" s="37" t="str">
        <f t="shared" si="8"/>
        <v>n/a</v>
      </c>
      <c r="N18" s="94">
        <f t="shared" si="9"/>
        <v>0.6</v>
      </c>
      <c r="O18" s="94">
        <f t="shared" si="10"/>
        <v>0.59989999999999999</v>
      </c>
      <c r="P18" s="94">
        <f t="shared" si="11"/>
        <v>0.5</v>
      </c>
      <c r="Q18" s="94">
        <f t="shared" si="12"/>
        <v>0.49990000000000001</v>
      </c>
      <c r="R18" s="94">
        <f t="shared" si="13"/>
        <v>0.4</v>
      </c>
      <c r="S18" s="94">
        <f t="shared" si="14"/>
        <v>0.39990000000000003</v>
      </c>
      <c r="T18" s="94">
        <f t="shared" si="15"/>
        <v>0.25</v>
      </c>
      <c r="U18" s="94">
        <f t="shared" si="16"/>
        <v>0.1</v>
      </c>
      <c r="W18" s="26" t="str">
        <f t="shared" si="17"/>
        <v>n/a</v>
      </c>
      <c r="Y18" s="94">
        <f t="shared" si="18"/>
        <v>0.6</v>
      </c>
      <c r="Z18" s="94">
        <f t="shared" si="0"/>
        <v>0.59989999999999999</v>
      </c>
      <c r="AA18" s="94">
        <f t="shared" si="1"/>
        <v>0.5</v>
      </c>
      <c r="AB18" s="94">
        <f t="shared" si="2"/>
        <v>0.49990000000000001</v>
      </c>
      <c r="AC18" s="94">
        <f t="shared" si="3"/>
        <v>0.4</v>
      </c>
      <c r="AD18" s="94">
        <f t="shared" si="4"/>
        <v>0.39990000000000003</v>
      </c>
      <c r="AE18" s="94">
        <f t="shared" si="5"/>
        <v>0.25</v>
      </c>
      <c r="AF18" s="94">
        <f t="shared" si="6"/>
        <v>0.1</v>
      </c>
      <c r="AH18" s="26" t="str">
        <f t="shared" si="7"/>
        <v>n/a</v>
      </c>
    </row>
    <row r="19" spans="1:34" x14ac:dyDescent="0.35">
      <c r="A19">
        <v>3</v>
      </c>
      <c r="B19" t="s">
        <v>35</v>
      </c>
      <c r="C19" s="78" t="str">
        <f>'Relevanz-Gewichtung-Parameter'!I32</f>
        <v/>
      </c>
      <c r="D19" s="73" t="s">
        <v>173</v>
      </c>
      <c r="E19" s="74">
        <v>1</v>
      </c>
      <c r="F19" s="74">
        <v>2</v>
      </c>
      <c r="G19" s="74">
        <v>2.5</v>
      </c>
      <c r="H19" s="74">
        <v>3.5</v>
      </c>
      <c r="I19" s="74">
        <v>4</v>
      </c>
      <c r="J19" s="37" t="str">
        <f t="shared" si="8"/>
        <v>n/a</v>
      </c>
      <c r="N19" s="80">
        <f t="shared" si="9"/>
        <v>1</v>
      </c>
      <c r="O19" s="80">
        <f t="shared" si="10"/>
        <v>0.99990000000000001</v>
      </c>
      <c r="P19" s="80">
        <f t="shared" si="11"/>
        <v>2</v>
      </c>
      <c r="Q19" s="80">
        <f t="shared" si="12"/>
        <v>1.9999</v>
      </c>
      <c r="R19" s="80">
        <f t="shared" si="13"/>
        <v>2.5</v>
      </c>
      <c r="S19" s="80">
        <f t="shared" si="14"/>
        <v>2.4998999999999998</v>
      </c>
      <c r="T19" s="80">
        <f t="shared" si="15"/>
        <v>3.5</v>
      </c>
      <c r="U19" s="80">
        <f t="shared" si="16"/>
        <v>4</v>
      </c>
      <c r="V19" s="14"/>
      <c r="W19" s="40" t="str">
        <f t="shared" si="17"/>
        <v>n/a</v>
      </c>
      <c r="X19" s="14"/>
      <c r="Y19" s="80">
        <f t="shared" si="18"/>
        <v>1</v>
      </c>
      <c r="Z19" s="80">
        <f t="shared" si="0"/>
        <v>0.99990000000000001</v>
      </c>
      <c r="AA19" s="80">
        <f t="shared" si="1"/>
        <v>2</v>
      </c>
      <c r="AB19" s="80">
        <f t="shared" si="2"/>
        <v>1.9999</v>
      </c>
      <c r="AC19" s="80">
        <f t="shared" si="3"/>
        <v>2.5</v>
      </c>
      <c r="AD19" s="80">
        <f t="shared" si="4"/>
        <v>2.4998999999999998</v>
      </c>
      <c r="AE19" s="80">
        <f t="shared" si="5"/>
        <v>3.5</v>
      </c>
      <c r="AF19" s="80">
        <f t="shared" si="6"/>
        <v>4</v>
      </c>
      <c r="AH19" s="40" t="str">
        <f>IF(ISNUMBER($C19),IF($C19&lt;=Y19,Y$6,IF(AND($C19&lt;=AA19,$C19&gt;Z19),AA$6,IF(AND($C19&lt;=AC19,$C19&gt;AB19),AC$6,IF(AND($C19&lt;=AF19,$C19&gt;AD19),AE$6,AF$6)))),"n/a")</f>
        <v>n/a</v>
      </c>
    </row>
    <row r="20" spans="1:34" x14ac:dyDescent="0.35">
      <c r="A20">
        <v>4</v>
      </c>
      <c r="B20" t="s">
        <v>154</v>
      </c>
      <c r="C20" s="78" t="str">
        <f>'Relevanz-Gewichtung-Parameter'!I34</f>
        <v/>
      </c>
      <c r="D20" s="72" t="s">
        <v>172</v>
      </c>
      <c r="E20" s="74">
        <v>1</v>
      </c>
      <c r="F20" s="74"/>
      <c r="G20" s="74"/>
      <c r="H20" s="74"/>
      <c r="I20" s="74">
        <v>0.1</v>
      </c>
      <c r="J20" s="37" t="str">
        <f t="shared" si="8"/>
        <v>n/a</v>
      </c>
      <c r="N20" s="80">
        <f t="shared" si="9"/>
        <v>1</v>
      </c>
      <c r="O20" s="80">
        <f t="shared" si="10"/>
        <v>0.99990000000000001</v>
      </c>
      <c r="P20" s="80">
        <f t="shared" si="11"/>
        <v>0</v>
      </c>
      <c r="Q20" s="80">
        <f t="shared" si="12"/>
        <v>-1E-4</v>
      </c>
      <c r="R20" s="80">
        <f t="shared" si="13"/>
        <v>0</v>
      </c>
      <c r="S20" s="80">
        <f t="shared" si="14"/>
        <v>-1E-4</v>
      </c>
      <c r="T20" s="80">
        <f t="shared" si="15"/>
        <v>0</v>
      </c>
      <c r="U20" s="80">
        <f t="shared" si="16"/>
        <v>0.1</v>
      </c>
      <c r="V20" s="14"/>
      <c r="W20" s="82" t="str">
        <f>IF(ISNUMBER($C20),IF($C20&gt;=N20,N$6,U$6),"n/a")</f>
        <v>n/a</v>
      </c>
      <c r="X20" s="14"/>
      <c r="Y20" s="80">
        <f t="shared" si="18"/>
        <v>1</v>
      </c>
      <c r="Z20" s="80">
        <f t="shared" si="0"/>
        <v>0.99990000000000001</v>
      </c>
      <c r="AA20" s="80">
        <f t="shared" si="1"/>
        <v>0</v>
      </c>
      <c r="AB20" s="80">
        <f t="shared" si="2"/>
        <v>-1E-4</v>
      </c>
      <c r="AC20" s="80">
        <f t="shared" si="3"/>
        <v>0</v>
      </c>
      <c r="AD20" s="80">
        <f t="shared" si="4"/>
        <v>-1E-4</v>
      </c>
      <c r="AE20" s="80">
        <f t="shared" si="5"/>
        <v>0</v>
      </c>
      <c r="AF20" s="80">
        <f t="shared" si="6"/>
        <v>0.1</v>
      </c>
      <c r="AH20" s="82" t="str">
        <f>IF(ISNUMBER($C20),IF($C20&lt;=Y20,Y$6,AF$6),"n/a")</f>
        <v>n/a</v>
      </c>
    </row>
    <row r="21" spans="1:34" x14ac:dyDescent="0.35">
      <c r="B21" s="21" t="s">
        <v>15</v>
      </c>
      <c r="C21" s="24"/>
      <c r="D21" s="24"/>
      <c r="E21" s="35"/>
      <c r="F21" s="35"/>
      <c r="G21" s="35"/>
      <c r="H21" s="35"/>
      <c r="I21" s="35"/>
      <c r="J21" s="38"/>
      <c r="N21" s="80">
        <f t="shared" si="9"/>
        <v>0</v>
      </c>
      <c r="O21" s="80">
        <f t="shared" si="10"/>
        <v>-1E-4</v>
      </c>
      <c r="P21" s="80">
        <f t="shared" si="11"/>
        <v>0</v>
      </c>
      <c r="Q21" s="80">
        <f t="shared" si="12"/>
        <v>-1E-4</v>
      </c>
      <c r="R21" s="80">
        <f t="shared" si="13"/>
        <v>0</v>
      </c>
      <c r="S21" s="80">
        <f t="shared" si="14"/>
        <v>-1E-4</v>
      </c>
      <c r="T21" s="80">
        <f t="shared" si="15"/>
        <v>0</v>
      </c>
      <c r="U21" s="80">
        <f t="shared" si="16"/>
        <v>0</v>
      </c>
      <c r="V21" s="14"/>
      <c r="W21" s="40" t="str">
        <f t="shared" si="17"/>
        <v>n/a</v>
      </c>
      <c r="X21" s="14"/>
      <c r="Y21" s="80">
        <f t="shared" si="18"/>
        <v>0</v>
      </c>
      <c r="Z21" s="80">
        <f t="shared" si="0"/>
        <v>-1E-4</v>
      </c>
      <c r="AA21" s="80">
        <f t="shared" si="1"/>
        <v>0</v>
      </c>
      <c r="AB21" s="80">
        <f t="shared" si="2"/>
        <v>-1E-4</v>
      </c>
      <c r="AC21" s="80">
        <f t="shared" si="3"/>
        <v>0</v>
      </c>
      <c r="AD21" s="80">
        <f t="shared" si="4"/>
        <v>-1E-4</v>
      </c>
      <c r="AE21" s="80">
        <f t="shared" si="5"/>
        <v>0</v>
      </c>
      <c r="AF21" s="80">
        <f t="shared" si="6"/>
        <v>0</v>
      </c>
      <c r="AH21" s="40" t="str">
        <f t="shared" ref="AH21:AH56" si="19">IF(ISNUMBER($C21),IF($C21&lt;=Y21,Y$6,IF(AND($C21&lt;=AA21,$C21&gt;Z21),AA$6,IF(AND($C21&lt;=AC21,$C21&gt;AB21),AC$6,IF(AND($C21&lt;=AF21,$C21&gt;AD21),AE$6,AF$6)))),"n/a")</f>
        <v>n/a</v>
      </c>
    </row>
    <row r="22" spans="1:34" x14ac:dyDescent="0.35">
      <c r="A22">
        <v>1</v>
      </c>
      <c r="B22" t="s">
        <v>31</v>
      </c>
      <c r="C22" s="78" t="str">
        <f>'Relevanz-Gewichtung-Parameter'!I42</f>
        <v/>
      </c>
      <c r="D22" s="73" t="s">
        <v>173</v>
      </c>
      <c r="E22" s="73">
        <v>5</v>
      </c>
      <c r="F22" s="73">
        <v>10</v>
      </c>
      <c r="G22" s="73">
        <v>20</v>
      </c>
      <c r="H22" s="73">
        <v>30</v>
      </c>
      <c r="I22" s="73">
        <v>50</v>
      </c>
      <c r="J22" s="37" t="str">
        <f t="shared" si="8"/>
        <v>n/a</v>
      </c>
      <c r="N22" s="80">
        <f t="shared" si="9"/>
        <v>5</v>
      </c>
      <c r="O22" s="80">
        <f t="shared" si="10"/>
        <v>4.9999000000000002</v>
      </c>
      <c r="P22" s="80">
        <f t="shared" si="11"/>
        <v>10</v>
      </c>
      <c r="Q22" s="80">
        <f t="shared" si="12"/>
        <v>9.9999000000000002</v>
      </c>
      <c r="R22" s="80">
        <f t="shared" si="13"/>
        <v>20</v>
      </c>
      <c r="S22" s="80">
        <f t="shared" si="14"/>
        <v>19.9999</v>
      </c>
      <c r="T22" s="80">
        <f t="shared" si="15"/>
        <v>30</v>
      </c>
      <c r="U22" s="80">
        <f t="shared" si="16"/>
        <v>50</v>
      </c>
      <c r="V22" s="14"/>
      <c r="W22" s="40" t="str">
        <f t="shared" si="17"/>
        <v>n/a</v>
      </c>
      <c r="X22" s="14"/>
      <c r="Y22" s="80">
        <f t="shared" si="18"/>
        <v>5</v>
      </c>
      <c r="Z22" s="80">
        <f t="shared" si="0"/>
        <v>4.9999000000000002</v>
      </c>
      <c r="AA22" s="80">
        <f t="shared" si="1"/>
        <v>10</v>
      </c>
      <c r="AB22" s="80">
        <f t="shared" si="2"/>
        <v>9.9999000000000002</v>
      </c>
      <c r="AC22" s="80">
        <f t="shared" si="3"/>
        <v>20</v>
      </c>
      <c r="AD22" s="80">
        <f t="shared" si="4"/>
        <v>19.9999</v>
      </c>
      <c r="AE22" s="80">
        <f t="shared" si="5"/>
        <v>30</v>
      </c>
      <c r="AF22" s="80">
        <f t="shared" si="6"/>
        <v>50</v>
      </c>
      <c r="AH22" s="40" t="str">
        <f t="shared" si="19"/>
        <v>n/a</v>
      </c>
    </row>
    <row r="23" spans="1:34" x14ac:dyDescent="0.35">
      <c r="A23">
        <v>2</v>
      </c>
      <c r="B23" s="75" t="s">
        <v>258</v>
      </c>
      <c r="C23" s="78" t="str">
        <f>'Relevanz-Gewichtung-Parameter'!I43</f>
        <v/>
      </c>
      <c r="D23" s="73" t="s">
        <v>173</v>
      </c>
      <c r="E23" s="73">
        <v>5</v>
      </c>
      <c r="F23" s="73">
        <v>10</v>
      </c>
      <c r="G23" s="73">
        <v>20</v>
      </c>
      <c r="H23" s="73">
        <v>30</v>
      </c>
      <c r="I23" s="73">
        <v>50</v>
      </c>
      <c r="J23" s="37" t="str">
        <f t="shared" si="8"/>
        <v>n/a</v>
      </c>
      <c r="N23" s="80">
        <f t="shared" si="9"/>
        <v>5</v>
      </c>
      <c r="O23" s="80">
        <f t="shared" si="10"/>
        <v>4.9999000000000002</v>
      </c>
      <c r="P23" s="80">
        <f t="shared" si="11"/>
        <v>10</v>
      </c>
      <c r="Q23" s="80">
        <f t="shared" si="12"/>
        <v>9.9999000000000002</v>
      </c>
      <c r="R23" s="80">
        <f t="shared" si="13"/>
        <v>20</v>
      </c>
      <c r="S23" s="80">
        <f t="shared" si="14"/>
        <v>19.9999</v>
      </c>
      <c r="T23" s="80">
        <f t="shared" si="15"/>
        <v>30</v>
      </c>
      <c r="U23" s="80">
        <f t="shared" si="16"/>
        <v>50</v>
      </c>
      <c r="V23" s="14"/>
      <c r="W23" s="40" t="str">
        <f t="shared" si="17"/>
        <v>n/a</v>
      </c>
      <c r="X23" s="14"/>
      <c r="Y23" s="80">
        <f t="shared" si="18"/>
        <v>5</v>
      </c>
      <c r="Z23" s="80">
        <f t="shared" si="0"/>
        <v>4.9999000000000002</v>
      </c>
      <c r="AA23" s="80">
        <f t="shared" si="1"/>
        <v>10</v>
      </c>
      <c r="AB23" s="80">
        <f t="shared" si="2"/>
        <v>9.9999000000000002</v>
      </c>
      <c r="AC23" s="80">
        <f t="shared" si="3"/>
        <v>20</v>
      </c>
      <c r="AD23" s="80">
        <f t="shared" si="4"/>
        <v>19.9999</v>
      </c>
      <c r="AE23" s="80">
        <f t="shared" si="5"/>
        <v>30</v>
      </c>
      <c r="AF23" s="80">
        <f t="shared" si="6"/>
        <v>50</v>
      </c>
      <c r="AH23" s="40" t="str">
        <f t="shared" si="19"/>
        <v>n/a</v>
      </c>
    </row>
    <row r="24" spans="1:34" x14ac:dyDescent="0.35">
      <c r="A24">
        <v>3</v>
      </c>
      <c r="B24" s="75" t="s">
        <v>259</v>
      </c>
      <c r="C24" s="78" t="str">
        <f>'Relevanz-Gewichtung-Parameter'!I44</f>
        <v/>
      </c>
      <c r="D24" s="73" t="s">
        <v>173</v>
      </c>
      <c r="E24" s="73">
        <v>2</v>
      </c>
      <c r="F24" s="73">
        <v>5</v>
      </c>
      <c r="G24" s="73">
        <v>10</v>
      </c>
      <c r="H24" s="73">
        <v>20</v>
      </c>
      <c r="I24" s="73">
        <v>35</v>
      </c>
      <c r="J24" s="37" t="str">
        <f t="shared" si="8"/>
        <v>n/a</v>
      </c>
      <c r="N24" s="80">
        <f t="shared" si="9"/>
        <v>2</v>
      </c>
      <c r="O24" s="80">
        <f t="shared" si="10"/>
        <v>1.9999</v>
      </c>
      <c r="P24" s="80">
        <f t="shared" si="11"/>
        <v>5</v>
      </c>
      <c r="Q24" s="80">
        <f t="shared" si="12"/>
        <v>4.9999000000000002</v>
      </c>
      <c r="R24" s="80">
        <f t="shared" si="13"/>
        <v>10</v>
      </c>
      <c r="S24" s="80">
        <f t="shared" si="14"/>
        <v>9.9999000000000002</v>
      </c>
      <c r="T24" s="80">
        <f t="shared" si="15"/>
        <v>20</v>
      </c>
      <c r="U24" s="80">
        <f t="shared" si="16"/>
        <v>35</v>
      </c>
      <c r="V24" s="14"/>
      <c r="W24" s="40" t="str">
        <f t="shared" si="17"/>
        <v>n/a</v>
      </c>
      <c r="X24" s="14"/>
      <c r="Y24" s="80">
        <f t="shared" si="18"/>
        <v>2</v>
      </c>
      <c r="Z24" s="80">
        <f t="shared" si="0"/>
        <v>1.9999</v>
      </c>
      <c r="AA24" s="80">
        <f t="shared" si="1"/>
        <v>5</v>
      </c>
      <c r="AB24" s="80">
        <f t="shared" si="2"/>
        <v>4.9999000000000002</v>
      </c>
      <c r="AC24" s="80">
        <f t="shared" si="3"/>
        <v>10</v>
      </c>
      <c r="AD24" s="80">
        <f t="shared" si="4"/>
        <v>9.9999000000000002</v>
      </c>
      <c r="AE24" s="80">
        <f t="shared" si="5"/>
        <v>20</v>
      </c>
      <c r="AF24" s="80">
        <f t="shared" si="6"/>
        <v>35</v>
      </c>
      <c r="AH24" s="40" t="str">
        <f t="shared" si="19"/>
        <v>n/a</v>
      </c>
    </row>
    <row r="25" spans="1:34" x14ac:dyDescent="0.35">
      <c r="A25">
        <v>4</v>
      </c>
      <c r="B25" s="75" t="s">
        <v>260</v>
      </c>
      <c r="C25" s="78" t="str">
        <f>'Relevanz-Gewichtung-Parameter'!I45</f>
        <v/>
      </c>
      <c r="D25" s="73" t="s">
        <v>173</v>
      </c>
      <c r="E25" s="73">
        <v>10</v>
      </c>
      <c r="F25" s="73">
        <v>20</v>
      </c>
      <c r="G25" s="73">
        <v>40</v>
      </c>
      <c r="H25" s="73">
        <v>50</v>
      </c>
      <c r="I25" s="73">
        <v>70</v>
      </c>
      <c r="J25" s="37" t="str">
        <f t="shared" si="8"/>
        <v>n/a</v>
      </c>
      <c r="N25" s="80">
        <f t="shared" si="9"/>
        <v>10</v>
      </c>
      <c r="O25" s="80">
        <f t="shared" si="10"/>
        <v>9.9999000000000002</v>
      </c>
      <c r="P25" s="80">
        <f t="shared" si="11"/>
        <v>20</v>
      </c>
      <c r="Q25" s="80">
        <f t="shared" si="12"/>
        <v>19.9999</v>
      </c>
      <c r="R25" s="80">
        <f t="shared" si="13"/>
        <v>40</v>
      </c>
      <c r="S25" s="80">
        <f t="shared" si="14"/>
        <v>39.999899999999997</v>
      </c>
      <c r="T25" s="80">
        <f t="shared" si="15"/>
        <v>50</v>
      </c>
      <c r="U25" s="80">
        <f t="shared" si="16"/>
        <v>70</v>
      </c>
      <c r="V25" s="14"/>
      <c r="W25" s="40" t="str">
        <f t="shared" si="17"/>
        <v>n/a</v>
      </c>
      <c r="X25" s="14"/>
      <c r="Y25" s="80">
        <f t="shared" si="18"/>
        <v>10</v>
      </c>
      <c r="Z25" s="80">
        <f t="shared" si="0"/>
        <v>9.9999000000000002</v>
      </c>
      <c r="AA25" s="80">
        <f t="shared" si="1"/>
        <v>20</v>
      </c>
      <c r="AB25" s="80">
        <f t="shared" si="2"/>
        <v>19.9999</v>
      </c>
      <c r="AC25" s="80">
        <f t="shared" si="3"/>
        <v>40</v>
      </c>
      <c r="AD25" s="80">
        <f t="shared" si="4"/>
        <v>39.999899999999997</v>
      </c>
      <c r="AE25" s="80">
        <f t="shared" si="5"/>
        <v>50</v>
      </c>
      <c r="AF25" s="80">
        <f t="shared" si="6"/>
        <v>70</v>
      </c>
      <c r="AH25" s="40" t="str">
        <f t="shared" si="19"/>
        <v>n/a</v>
      </c>
    </row>
    <row r="26" spans="1:34" x14ac:dyDescent="0.35">
      <c r="B26" s="21" t="s">
        <v>16</v>
      </c>
      <c r="C26" s="24"/>
      <c r="D26" s="24"/>
      <c r="E26" s="35"/>
      <c r="F26" s="35"/>
      <c r="G26" s="35"/>
      <c r="H26" s="35"/>
      <c r="I26" s="35"/>
      <c r="J26" s="38"/>
      <c r="N26" s="80">
        <f t="shared" si="9"/>
        <v>0</v>
      </c>
      <c r="O26" s="80">
        <f t="shared" si="10"/>
        <v>-1E-4</v>
      </c>
      <c r="P26" s="80">
        <f t="shared" si="11"/>
        <v>0</v>
      </c>
      <c r="Q26" s="80">
        <f t="shared" si="12"/>
        <v>-1E-4</v>
      </c>
      <c r="R26" s="80">
        <f t="shared" si="13"/>
        <v>0</v>
      </c>
      <c r="S26" s="80">
        <f t="shared" si="14"/>
        <v>-1E-4</v>
      </c>
      <c r="T26" s="80">
        <f t="shared" si="15"/>
        <v>0</v>
      </c>
      <c r="U26" s="80">
        <f t="shared" si="16"/>
        <v>0</v>
      </c>
      <c r="V26" s="14"/>
      <c r="W26" s="40" t="str">
        <f t="shared" si="17"/>
        <v>n/a</v>
      </c>
      <c r="X26" s="14"/>
      <c r="Y26" s="80">
        <f t="shared" si="18"/>
        <v>0</v>
      </c>
      <c r="Z26" s="80">
        <f t="shared" si="0"/>
        <v>-1E-4</v>
      </c>
      <c r="AA26" s="80">
        <f t="shared" si="1"/>
        <v>0</v>
      </c>
      <c r="AB26" s="80">
        <f t="shared" si="2"/>
        <v>-1E-4</v>
      </c>
      <c r="AC26" s="80">
        <f t="shared" si="3"/>
        <v>0</v>
      </c>
      <c r="AD26" s="80">
        <f t="shared" si="4"/>
        <v>-1E-4</v>
      </c>
      <c r="AE26" s="80">
        <f t="shared" si="5"/>
        <v>0</v>
      </c>
      <c r="AF26" s="80">
        <f t="shared" si="6"/>
        <v>0</v>
      </c>
      <c r="AH26" s="40" t="str">
        <f t="shared" si="19"/>
        <v>n/a</v>
      </c>
    </row>
    <row r="27" spans="1:34" x14ac:dyDescent="0.35">
      <c r="A27">
        <v>1</v>
      </c>
      <c r="B27" t="s">
        <v>29</v>
      </c>
      <c r="C27" s="78" t="str">
        <f>'Relevanz-Gewichtung-Parameter'!I53</f>
        <v/>
      </c>
      <c r="D27" s="73" t="s">
        <v>172</v>
      </c>
      <c r="E27" s="74">
        <v>2</v>
      </c>
      <c r="F27" s="74">
        <v>1.5</v>
      </c>
      <c r="G27" s="74">
        <v>1</v>
      </c>
      <c r="H27" s="74">
        <v>0.75</v>
      </c>
      <c r="I27" s="74">
        <v>0.5</v>
      </c>
      <c r="J27" s="37" t="str">
        <f t="shared" si="8"/>
        <v>n/a</v>
      </c>
      <c r="N27" s="80">
        <f t="shared" si="9"/>
        <v>2</v>
      </c>
      <c r="O27" s="80">
        <f t="shared" si="10"/>
        <v>1.9999</v>
      </c>
      <c r="P27" s="80">
        <f t="shared" si="11"/>
        <v>1.5</v>
      </c>
      <c r="Q27" s="80">
        <f t="shared" si="12"/>
        <v>1.4999</v>
      </c>
      <c r="R27" s="80">
        <f t="shared" si="13"/>
        <v>1</v>
      </c>
      <c r="S27" s="80">
        <f t="shared" si="14"/>
        <v>0.99990000000000001</v>
      </c>
      <c r="T27" s="80">
        <f t="shared" si="15"/>
        <v>0.75</v>
      </c>
      <c r="U27" s="80">
        <f t="shared" si="16"/>
        <v>0.5</v>
      </c>
      <c r="V27" s="14"/>
      <c r="W27" s="40" t="str">
        <f t="shared" si="17"/>
        <v>n/a</v>
      </c>
      <c r="X27" s="14"/>
      <c r="Y27" s="80">
        <f t="shared" si="18"/>
        <v>2</v>
      </c>
      <c r="Z27" s="80">
        <f t="shared" si="0"/>
        <v>1.9999</v>
      </c>
      <c r="AA27" s="80">
        <f t="shared" si="1"/>
        <v>1.5</v>
      </c>
      <c r="AB27" s="80">
        <f t="shared" si="2"/>
        <v>1.4999</v>
      </c>
      <c r="AC27" s="80">
        <f t="shared" si="3"/>
        <v>1</v>
      </c>
      <c r="AD27" s="80">
        <f t="shared" si="4"/>
        <v>0.99990000000000001</v>
      </c>
      <c r="AE27" s="80">
        <f t="shared" si="5"/>
        <v>0.75</v>
      </c>
      <c r="AF27" s="80">
        <f t="shared" si="6"/>
        <v>0.5</v>
      </c>
      <c r="AH27" s="40" t="str">
        <f t="shared" si="19"/>
        <v>n/a</v>
      </c>
    </row>
    <row r="28" spans="1:34" x14ac:dyDescent="0.35">
      <c r="A28">
        <v>2</v>
      </c>
      <c r="B28" t="s">
        <v>30</v>
      </c>
      <c r="C28" s="78" t="str">
        <f>'Relevanz-Gewichtung-Parameter'!I55</f>
        <v/>
      </c>
      <c r="D28" s="73" t="s">
        <v>172</v>
      </c>
      <c r="E28" s="74">
        <v>1.5</v>
      </c>
      <c r="F28" s="74">
        <v>1</v>
      </c>
      <c r="G28" s="74">
        <v>0.75</v>
      </c>
      <c r="H28" s="74">
        <v>0.5</v>
      </c>
      <c r="I28" s="74">
        <v>0.25</v>
      </c>
      <c r="J28" s="37" t="str">
        <f t="shared" si="8"/>
        <v>n/a</v>
      </c>
      <c r="N28" s="80">
        <f t="shared" si="9"/>
        <v>1.5</v>
      </c>
      <c r="O28" s="80">
        <f t="shared" si="10"/>
        <v>1.4999</v>
      </c>
      <c r="P28" s="80">
        <f t="shared" si="11"/>
        <v>1</v>
      </c>
      <c r="Q28" s="80">
        <f t="shared" si="12"/>
        <v>0.99990000000000001</v>
      </c>
      <c r="R28" s="80">
        <f t="shared" si="13"/>
        <v>0.75</v>
      </c>
      <c r="S28" s="80">
        <f t="shared" si="14"/>
        <v>0.74990000000000001</v>
      </c>
      <c r="T28" s="80">
        <f t="shared" si="15"/>
        <v>0.5</v>
      </c>
      <c r="U28" s="80">
        <f t="shared" si="16"/>
        <v>0.25</v>
      </c>
      <c r="V28" s="14"/>
      <c r="W28" s="40" t="str">
        <f t="shared" si="17"/>
        <v>n/a</v>
      </c>
      <c r="X28" s="14"/>
      <c r="Y28" s="80">
        <f t="shared" si="18"/>
        <v>1.5</v>
      </c>
      <c r="Z28" s="80">
        <f t="shared" si="0"/>
        <v>1.4999</v>
      </c>
      <c r="AA28" s="80">
        <f t="shared" si="1"/>
        <v>1</v>
      </c>
      <c r="AB28" s="80">
        <f t="shared" si="2"/>
        <v>0.99990000000000001</v>
      </c>
      <c r="AC28" s="80">
        <f t="shared" si="3"/>
        <v>0.75</v>
      </c>
      <c r="AD28" s="80">
        <f t="shared" si="4"/>
        <v>0.74990000000000001</v>
      </c>
      <c r="AE28" s="80">
        <f t="shared" si="5"/>
        <v>0.5</v>
      </c>
      <c r="AF28" s="80">
        <f t="shared" si="6"/>
        <v>0.25</v>
      </c>
      <c r="AH28" s="40" t="str">
        <f t="shared" si="19"/>
        <v>n/a</v>
      </c>
    </row>
    <row r="29" spans="1:34" x14ac:dyDescent="0.35">
      <c r="A29">
        <v>3</v>
      </c>
      <c r="B29" t="s">
        <v>48</v>
      </c>
      <c r="C29" s="78" t="str">
        <f>'Relevanz-Gewichtung-Parameter'!I57</f>
        <v/>
      </c>
      <c r="D29" s="73" t="s">
        <v>172</v>
      </c>
      <c r="E29" s="83">
        <v>0.15</v>
      </c>
      <c r="F29" s="83">
        <v>0.08</v>
      </c>
      <c r="G29" s="83">
        <v>0.04</v>
      </c>
      <c r="H29" s="83">
        <v>0</v>
      </c>
      <c r="I29" s="83">
        <v>0</v>
      </c>
      <c r="J29" s="76" t="str">
        <f t="shared" si="8"/>
        <v>n/a</v>
      </c>
      <c r="N29" s="80">
        <f t="shared" si="9"/>
        <v>0.15</v>
      </c>
      <c r="O29" s="80">
        <f t="shared" si="10"/>
        <v>0.14990000000000001</v>
      </c>
      <c r="P29" s="80">
        <f t="shared" si="11"/>
        <v>0.08</v>
      </c>
      <c r="Q29" s="80">
        <f t="shared" si="12"/>
        <v>7.9899999999999999E-2</v>
      </c>
      <c r="R29" s="80">
        <f t="shared" si="13"/>
        <v>0.04</v>
      </c>
      <c r="S29" s="80">
        <f t="shared" si="14"/>
        <v>3.9899999999999998E-2</v>
      </c>
      <c r="T29" s="80">
        <f t="shared" si="15"/>
        <v>0</v>
      </c>
      <c r="U29" s="80">
        <f t="shared" si="16"/>
        <v>0</v>
      </c>
      <c r="V29" s="14"/>
      <c r="W29" s="40" t="str">
        <f t="shared" si="17"/>
        <v>n/a</v>
      </c>
      <c r="X29" s="14"/>
      <c r="Y29" s="80">
        <f t="shared" si="18"/>
        <v>0.15</v>
      </c>
      <c r="Z29" s="80">
        <f t="shared" si="0"/>
        <v>0.14990000000000001</v>
      </c>
      <c r="AA29" s="80">
        <f t="shared" si="1"/>
        <v>0.08</v>
      </c>
      <c r="AB29" s="80">
        <f t="shared" si="2"/>
        <v>7.9899999999999999E-2</v>
      </c>
      <c r="AC29" s="80">
        <f t="shared" si="3"/>
        <v>0.04</v>
      </c>
      <c r="AD29" s="80">
        <f t="shared" si="4"/>
        <v>3.9899999999999998E-2</v>
      </c>
      <c r="AE29" s="80">
        <f t="shared" si="5"/>
        <v>0</v>
      </c>
      <c r="AF29" s="80">
        <f t="shared" si="6"/>
        <v>0</v>
      </c>
      <c r="AH29" s="40" t="str">
        <f t="shared" si="19"/>
        <v>n/a</v>
      </c>
    </row>
    <row r="30" spans="1:34" ht="14.5" customHeight="1" x14ac:dyDescent="0.35">
      <c r="A30">
        <v>4</v>
      </c>
      <c r="B30" t="s">
        <v>49</v>
      </c>
      <c r="C30" s="78" t="str">
        <f>'Relevanz-Gewichtung-Parameter'!I59</f>
        <v/>
      </c>
      <c r="D30" s="73" t="s">
        <v>173</v>
      </c>
      <c r="E30" s="74">
        <v>0.1</v>
      </c>
      <c r="F30" s="74">
        <v>0.5</v>
      </c>
      <c r="G30" s="74">
        <v>1</v>
      </c>
      <c r="H30" s="74">
        <v>2</v>
      </c>
      <c r="I30" s="74">
        <v>3</v>
      </c>
      <c r="J30" s="37" t="str">
        <f t="shared" si="8"/>
        <v>n/a</v>
      </c>
      <c r="N30" s="80">
        <f t="shared" si="9"/>
        <v>0.1</v>
      </c>
      <c r="O30" s="80">
        <f t="shared" si="10"/>
        <v>9.9900000000000003E-2</v>
      </c>
      <c r="P30" s="80">
        <f t="shared" si="11"/>
        <v>0.5</v>
      </c>
      <c r="Q30" s="80">
        <f t="shared" si="12"/>
        <v>0.49990000000000001</v>
      </c>
      <c r="R30" s="80">
        <f t="shared" si="13"/>
        <v>1</v>
      </c>
      <c r="S30" s="80">
        <f t="shared" si="14"/>
        <v>0.99990000000000001</v>
      </c>
      <c r="T30" s="80">
        <f t="shared" si="15"/>
        <v>2</v>
      </c>
      <c r="U30" s="80">
        <f t="shared" si="16"/>
        <v>3</v>
      </c>
      <c r="V30" s="14"/>
      <c r="W30" s="40" t="str">
        <f t="shared" si="17"/>
        <v>n/a</v>
      </c>
      <c r="X30" s="14"/>
      <c r="Y30" s="80">
        <f t="shared" si="18"/>
        <v>0.1</v>
      </c>
      <c r="Z30" s="80">
        <f t="shared" si="0"/>
        <v>9.9900000000000003E-2</v>
      </c>
      <c r="AA30" s="80">
        <f t="shared" si="1"/>
        <v>0.5</v>
      </c>
      <c r="AB30" s="80">
        <f t="shared" si="2"/>
        <v>0.49990000000000001</v>
      </c>
      <c r="AC30" s="80">
        <f t="shared" si="3"/>
        <v>1</v>
      </c>
      <c r="AD30" s="80">
        <f t="shared" si="4"/>
        <v>0.99990000000000001</v>
      </c>
      <c r="AE30" s="80">
        <f t="shared" si="5"/>
        <v>2</v>
      </c>
      <c r="AF30" s="80">
        <f t="shared" si="6"/>
        <v>3</v>
      </c>
      <c r="AH30" s="40" t="str">
        <f t="shared" si="19"/>
        <v>n/a</v>
      </c>
    </row>
    <row r="31" spans="1:34" x14ac:dyDescent="0.35">
      <c r="A31">
        <v>5</v>
      </c>
      <c r="B31" t="s">
        <v>51</v>
      </c>
      <c r="C31" s="78" t="str">
        <f>'Relevanz-Gewichtung-Parameter'!I61</f>
        <v/>
      </c>
      <c r="D31" s="73" t="s">
        <v>172</v>
      </c>
      <c r="E31" s="74">
        <v>1</v>
      </c>
      <c r="F31" s="74"/>
      <c r="G31" s="74"/>
      <c r="H31" s="74"/>
      <c r="I31" s="74">
        <v>0.1</v>
      </c>
      <c r="J31" s="37" t="str">
        <f t="shared" si="8"/>
        <v>n/a</v>
      </c>
      <c r="N31" s="80">
        <f t="shared" si="9"/>
        <v>1</v>
      </c>
      <c r="O31" s="80">
        <f t="shared" si="10"/>
        <v>0.99990000000000001</v>
      </c>
      <c r="P31" s="80">
        <f t="shared" si="11"/>
        <v>0</v>
      </c>
      <c r="Q31" s="80">
        <f t="shared" si="12"/>
        <v>-1E-4</v>
      </c>
      <c r="R31" s="80">
        <f t="shared" si="13"/>
        <v>0</v>
      </c>
      <c r="S31" s="80">
        <f t="shared" si="14"/>
        <v>-1E-4</v>
      </c>
      <c r="T31" s="80">
        <f t="shared" si="15"/>
        <v>0</v>
      </c>
      <c r="U31" s="80">
        <f t="shared" si="16"/>
        <v>0.1</v>
      </c>
      <c r="V31" s="14"/>
      <c r="W31" s="40" t="str">
        <f t="shared" si="17"/>
        <v>n/a</v>
      </c>
      <c r="X31" s="14"/>
      <c r="Y31" s="80">
        <f t="shared" si="18"/>
        <v>1</v>
      </c>
      <c r="Z31" s="80">
        <f t="shared" si="0"/>
        <v>0.99990000000000001</v>
      </c>
      <c r="AA31" s="80">
        <f t="shared" si="1"/>
        <v>0</v>
      </c>
      <c r="AB31" s="80">
        <f t="shared" si="2"/>
        <v>-1E-4</v>
      </c>
      <c r="AC31" s="80">
        <f t="shared" si="3"/>
        <v>0</v>
      </c>
      <c r="AD31" s="80">
        <f t="shared" si="4"/>
        <v>-1E-4</v>
      </c>
      <c r="AE31" s="80">
        <f t="shared" si="5"/>
        <v>0</v>
      </c>
      <c r="AF31" s="80">
        <f t="shared" si="6"/>
        <v>0.1</v>
      </c>
      <c r="AH31" s="40" t="str">
        <f t="shared" si="19"/>
        <v>n/a</v>
      </c>
    </row>
    <row r="32" spans="1:34" x14ac:dyDescent="0.35">
      <c r="A32">
        <v>6</v>
      </c>
      <c r="B32" t="s">
        <v>42</v>
      </c>
      <c r="C32" s="78" t="str">
        <f>'Relevanz-Gewichtung-Parameter'!I63</f>
        <v/>
      </c>
      <c r="D32" s="73" t="s">
        <v>172</v>
      </c>
      <c r="E32" s="74">
        <v>1</v>
      </c>
      <c r="F32" s="74"/>
      <c r="G32" s="74"/>
      <c r="H32" s="74"/>
      <c r="I32" s="74">
        <v>0.1</v>
      </c>
      <c r="J32" s="37" t="str">
        <f t="shared" si="8"/>
        <v>n/a</v>
      </c>
      <c r="N32" s="80">
        <f t="shared" si="9"/>
        <v>1</v>
      </c>
      <c r="O32" s="80">
        <f t="shared" si="10"/>
        <v>0.99990000000000001</v>
      </c>
      <c r="P32" s="80">
        <f t="shared" si="11"/>
        <v>0</v>
      </c>
      <c r="Q32" s="80">
        <f t="shared" si="12"/>
        <v>-1E-4</v>
      </c>
      <c r="R32" s="80">
        <f t="shared" si="13"/>
        <v>0</v>
      </c>
      <c r="S32" s="80">
        <f t="shared" si="14"/>
        <v>-1E-4</v>
      </c>
      <c r="T32" s="80">
        <f t="shared" si="15"/>
        <v>0</v>
      </c>
      <c r="U32" s="80">
        <f t="shared" si="16"/>
        <v>0.1</v>
      </c>
      <c r="V32" s="14"/>
      <c r="W32" s="40" t="str">
        <f t="shared" si="17"/>
        <v>n/a</v>
      </c>
      <c r="X32" s="14"/>
      <c r="Y32" s="80">
        <f t="shared" si="18"/>
        <v>1</v>
      </c>
      <c r="Z32" s="80">
        <f t="shared" si="0"/>
        <v>0.99990000000000001</v>
      </c>
      <c r="AA32" s="80">
        <f t="shared" si="1"/>
        <v>0</v>
      </c>
      <c r="AB32" s="80">
        <f t="shared" si="2"/>
        <v>-1E-4</v>
      </c>
      <c r="AC32" s="80">
        <f t="shared" si="3"/>
        <v>0</v>
      </c>
      <c r="AD32" s="80">
        <f t="shared" si="4"/>
        <v>-1E-4</v>
      </c>
      <c r="AE32" s="80">
        <f t="shared" si="5"/>
        <v>0</v>
      </c>
      <c r="AF32" s="80">
        <f t="shared" si="6"/>
        <v>0.1</v>
      </c>
      <c r="AH32" s="40" t="str">
        <f t="shared" si="19"/>
        <v>n/a</v>
      </c>
    </row>
    <row r="33" spans="1:34" x14ac:dyDescent="0.35">
      <c r="A33">
        <v>7</v>
      </c>
      <c r="B33" t="s">
        <v>50</v>
      </c>
      <c r="C33" s="78" t="str">
        <f>'Relevanz-Gewichtung-Parameter'!I65</f>
        <v/>
      </c>
      <c r="D33" s="73" t="s">
        <v>172</v>
      </c>
      <c r="E33" s="74">
        <v>1</v>
      </c>
      <c r="F33" s="74"/>
      <c r="G33" s="74"/>
      <c r="H33" s="74"/>
      <c r="I33" s="74">
        <v>0.1</v>
      </c>
      <c r="J33" s="37" t="str">
        <f t="shared" si="8"/>
        <v>n/a</v>
      </c>
      <c r="N33" s="80">
        <f t="shared" si="9"/>
        <v>1</v>
      </c>
      <c r="O33" s="80">
        <f t="shared" si="10"/>
        <v>0.99990000000000001</v>
      </c>
      <c r="P33" s="80">
        <f t="shared" si="11"/>
        <v>0</v>
      </c>
      <c r="Q33" s="80">
        <f t="shared" si="12"/>
        <v>-1E-4</v>
      </c>
      <c r="R33" s="80">
        <f t="shared" si="13"/>
        <v>0</v>
      </c>
      <c r="S33" s="80">
        <f t="shared" si="14"/>
        <v>-1E-4</v>
      </c>
      <c r="T33" s="80">
        <f t="shared" si="15"/>
        <v>0</v>
      </c>
      <c r="U33" s="80">
        <f t="shared" si="16"/>
        <v>0.1</v>
      </c>
      <c r="V33" s="14"/>
      <c r="W33" s="40" t="str">
        <f t="shared" si="17"/>
        <v>n/a</v>
      </c>
      <c r="X33" s="14"/>
      <c r="Y33" s="80">
        <f t="shared" si="18"/>
        <v>1</v>
      </c>
      <c r="Z33" s="80">
        <f t="shared" si="0"/>
        <v>0.99990000000000001</v>
      </c>
      <c r="AA33" s="80">
        <f t="shared" si="1"/>
        <v>0</v>
      </c>
      <c r="AB33" s="80">
        <f t="shared" si="2"/>
        <v>-1E-4</v>
      </c>
      <c r="AC33" s="80">
        <f t="shared" si="3"/>
        <v>0</v>
      </c>
      <c r="AD33" s="80">
        <f t="shared" si="4"/>
        <v>-1E-4</v>
      </c>
      <c r="AE33" s="80">
        <f t="shared" si="5"/>
        <v>0</v>
      </c>
      <c r="AF33" s="80">
        <f t="shared" si="6"/>
        <v>0.1</v>
      </c>
      <c r="AH33" s="40" t="str">
        <f t="shared" si="19"/>
        <v>n/a</v>
      </c>
    </row>
    <row r="34" spans="1:34" x14ac:dyDescent="0.35">
      <c r="B34" s="21" t="s">
        <v>152</v>
      </c>
      <c r="C34" s="24"/>
      <c r="D34" s="24"/>
      <c r="E34" s="35"/>
      <c r="F34" s="35"/>
      <c r="G34" s="35"/>
      <c r="H34" s="35"/>
      <c r="I34" s="35"/>
      <c r="J34" s="38"/>
      <c r="N34" s="80">
        <f t="shared" si="9"/>
        <v>0</v>
      </c>
      <c r="O34" s="80">
        <f t="shared" si="10"/>
        <v>-1E-4</v>
      </c>
      <c r="P34" s="80">
        <f t="shared" si="11"/>
        <v>0</v>
      </c>
      <c r="Q34" s="80">
        <f t="shared" si="12"/>
        <v>-1E-4</v>
      </c>
      <c r="R34" s="80">
        <f t="shared" si="13"/>
        <v>0</v>
      </c>
      <c r="S34" s="80">
        <f t="shared" si="14"/>
        <v>-1E-4</v>
      </c>
      <c r="T34" s="80">
        <f t="shared" si="15"/>
        <v>0</v>
      </c>
      <c r="U34" s="80">
        <f t="shared" si="16"/>
        <v>0</v>
      </c>
      <c r="V34" s="14"/>
      <c r="W34" s="40" t="str">
        <f t="shared" si="17"/>
        <v>n/a</v>
      </c>
      <c r="X34" s="14"/>
      <c r="Y34" s="80">
        <f t="shared" si="18"/>
        <v>0</v>
      </c>
      <c r="Z34" s="80">
        <f t="shared" si="0"/>
        <v>-1E-4</v>
      </c>
      <c r="AA34" s="80">
        <f t="shared" si="1"/>
        <v>0</v>
      </c>
      <c r="AB34" s="80">
        <f t="shared" si="2"/>
        <v>-1E-4</v>
      </c>
      <c r="AC34" s="80">
        <f t="shared" si="3"/>
        <v>0</v>
      </c>
      <c r="AD34" s="80">
        <f t="shared" si="4"/>
        <v>-1E-4</v>
      </c>
      <c r="AE34" s="80">
        <f t="shared" si="5"/>
        <v>0</v>
      </c>
      <c r="AF34" s="80">
        <f t="shared" si="6"/>
        <v>0</v>
      </c>
      <c r="AH34" s="40" t="str">
        <f t="shared" si="19"/>
        <v>n/a</v>
      </c>
    </row>
    <row r="35" spans="1:34" ht="14.5" customHeight="1" x14ac:dyDescent="0.35">
      <c r="A35">
        <v>1</v>
      </c>
      <c r="B35" t="s">
        <v>69</v>
      </c>
      <c r="C35" s="78" t="str">
        <f>'Relevanz-Gewichtung-Parameter'!I73</f>
        <v/>
      </c>
      <c r="D35" s="73" t="s">
        <v>172</v>
      </c>
      <c r="E35" s="74">
        <v>1</v>
      </c>
      <c r="F35" s="74"/>
      <c r="G35" s="74"/>
      <c r="H35" s="74"/>
      <c r="I35" s="74">
        <v>0.1</v>
      </c>
      <c r="J35" s="37" t="str">
        <f t="shared" si="8"/>
        <v>n/a</v>
      </c>
      <c r="N35" s="80">
        <f t="shared" si="9"/>
        <v>1</v>
      </c>
      <c r="O35" s="80">
        <f t="shared" si="10"/>
        <v>0.99990000000000001</v>
      </c>
      <c r="P35" s="80">
        <f t="shared" si="11"/>
        <v>0</v>
      </c>
      <c r="Q35" s="80">
        <f t="shared" si="12"/>
        <v>-1E-4</v>
      </c>
      <c r="R35" s="80">
        <f t="shared" si="13"/>
        <v>0</v>
      </c>
      <c r="S35" s="80">
        <f t="shared" si="14"/>
        <v>-1E-4</v>
      </c>
      <c r="T35" s="80">
        <f t="shared" si="15"/>
        <v>0</v>
      </c>
      <c r="U35" s="80">
        <f t="shared" si="16"/>
        <v>0.1</v>
      </c>
      <c r="V35" s="14"/>
      <c r="W35" s="82" t="str">
        <f t="shared" ref="W35:W43" si="20">IF(ISNUMBER($C35),IF($C35&gt;=N35,N$6,U$6),"n/a")</f>
        <v>n/a</v>
      </c>
      <c r="X35" s="14"/>
      <c r="Y35" s="80">
        <f t="shared" si="18"/>
        <v>1</v>
      </c>
      <c r="Z35" s="80">
        <f t="shared" si="0"/>
        <v>0.99990000000000001</v>
      </c>
      <c r="AA35" s="80">
        <f t="shared" si="1"/>
        <v>0</v>
      </c>
      <c r="AB35" s="80">
        <f t="shared" si="2"/>
        <v>-1E-4</v>
      </c>
      <c r="AC35" s="80">
        <f t="shared" si="3"/>
        <v>0</v>
      </c>
      <c r="AD35" s="80">
        <f t="shared" si="4"/>
        <v>-1E-4</v>
      </c>
      <c r="AE35" s="80">
        <f t="shared" si="5"/>
        <v>0</v>
      </c>
      <c r="AF35" s="80">
        <f t="shared" si="6"/>
        <v>0.1</v>
      </c>
      <c r="AH35" s="82" t="str">
        <f t="shared" ref="AH35:AH44" si="21">IF(ISNUMBER($C35),IF($C35&lt;=Y35,Y$6,AF$6),"n/a")</f>
        <v>n/a</v>
      </c>
    </row>
    <row r="36" spans="1:34" ht="14.5" customHeight="1" x14ac:dyDescent="0.35">
      <c r="A36">
        <v>2</v>
      </c>
      <c r="B36" t="s">
        <v>70</v>
      </c>
      <c r="C36" s="78" t="str">
        <f>'Relevanz-Gewichtung-Parameter'!I75</f>
        <v/>
      </c>
      <c r="D36" s="73" t="s">
        <v>173</v>
      </c>
      <c r="E36" s="74">
        <v>1</v>
      </c>
      <c r="F36" s="74"/>
      <c r="G36" s="74"/>
      <c r="H36" s="74"/>
      <c r="I36" s="74">
        <v>0.1</v>
      </c>
      <c r="J36" s="37" t="str">
        <f t="shared" si="8"/>
        <v>n/a</v>
      </c>
      <c r="N36" s="80">
        <f t="shared" si="9"/>
        <v>1</v>
      </c>
      <c r="O36" s="80">
        <f t="shared" si="10"/>
        <v>0.99990000000000001</v>
      </c>
      <c r="P36" s="80">
        <f t="shared" si="11"/>
        <v>0</v>
      </c>
      <c r="Q36" s="80">
        <f t="shared" si="12"/>
        <v>-1E-4</v>
      </c>
      <c r="R36" s="80">
        <f t="shared" si="13"/>
        <v>0</v>
      </c>
      <c r="S36" s="80">
        <f t="shared" si="14"/>
        <v>-1E-4</v>
      </c>
      <c r="T36" s="80">
        <f t="shared" si="15"/>
        <v>0</v>
      </c>
      <c r="U36" s="80">
        <f t="shared" si="16"/>
        <v>0.1</v>
      </c>
      <c r="V36" s="14"/>
      <c r="W36" s="82" t="str">
        <f t="shared" si="20"/>
        <v>n/a</v>
      </c>
      <c r="X36" s="14"/>
      <c r="Y36" s="80">
        <f t="shared" si="18"/>
        <v>1</v>
      </c>
      <c r="Z36" s="80">
        <f t="shared" si="0"/>
        <v>0.99990000000000001</v>
      </c>
      <c r="AA36" s="80">
        <f t="shared" si="1"/>
        <v>0</v>
      </c>
      <c r="AB36" s="80">
        <f t="shared" si="2"/>
        <v>-1E-4</v>
      </c>
      <c r="AC36" s="80">
        <f t="shared" si="3"/>
        <v>0</v>
      </c>
      <c r="AD36" s="80">
        <f t="shared" si="4"/>
        <v>-1E-4</v>
      </c>
      <c r="AE36" s="80">
        <f t="shared" si="5"/>
        <v>0</v>
      </c>
      <c r="AF36" s="80">
        <f t="shared" si="6"/>
        <v>0.1</v>
      </c>
      <c r="AH36" s="82" t="str">
        <f t="shared" si="21"/>
        <v>n/a</v>
      </c>
    </row>
    <row r="37" spans="1:34" ht="14.5" customHeight="1" x14ac:dyDescent="0.35">
      <c r="A37">
        <v>3</v>
      </c>
      <c r="B37" t="s">
        <v>38</v>
      </c>
      <c r="C37" s="78" t="str">
        <f>'Relevanz-Gewichtung-Parameter'!I77</f>
        <v/>
      </c>
      <c r="D37" s="73" t="s">
        <v>173</v>
      </c>
      <c r="E37" s="74">
        <v>1</v>
      </c>
      <c r="F37" s="74"/>
      <c r="G37" s="74"/>
      <c r="H37" s="74"/>
      <c r="I37" s="74">
        <v>0.1</v>
      </c>
      <c r="J37" s="37" t="str">
        <f t="shared" si="8"/>
        <v>n/a</v>
      </c>
      <c r="N37" s="80">
        <f t="shared" si="9"/>
        <v>1</v>
      </c>
      <c r="O37" s="80">
        <f t="shared" si="10"/>
        <v>0.99990000000000001</v>
      </c>
      <c r="P37" s="80">
        <f t="shared" si="11"/>
        <v>0</v>
      </c>
      <c r="Q37" s="80">
        <f t="shared" si="12"/>
        <v>-1E-4</v>
      </c>
      <c r="R37" s="80">
        <f t="shared" si="13"/>
        <v>0</v>
      </c>
      <c r="S37" s="80">
        <f t="shared" si="14"/>
        <v>-1E-4</v>
      </c>
      <c r="T37" s="80">
        <f t="shared" si="15"/>
        <v>0</v>
      </c>
      <c r="U37" s="80">
        <f t="shared" si="16"/>
        <v>0.1</v>
      </c>
      <c r="V37" s="14"/>
      <c r="W37" s="82" t="str">
        <f t="shared" si="20"/>
        <v>n/a</v>
      </c>
      <c r="X37" s="14"/>
      <c r="Y37" s="80">
        <f t="shared" si="18"/>
        <v>1</v>
      </c>
      <c r="Z37" s="80">
        <f t="shared" si="0"/>
        <v>0.99990000000000001</v>
      </c>
      <c r="AA37" s="80">
        <f t="shared" si="1"/>
        <v>0</v>
      </c>
      <c r="AB37" s="80">
        <f t="shared" si="2"/>
        <v>-1E-4</v>
      </c>
      <c r="AC37" s="80">
        <f t="shared" si="3"/>
        <v>0</v>
      </c>
      <c r="AD37" s="80">
        <f t="shared" si="4"/>
        <v>-1E-4</v>
      </c>
      <c r="AE37" s="80">
        <f t="shared" si="5"/>
        <v>0</v>
      </c>
      <c r="AF37" s="80">
        <f t="shared" si="6"/>
        <v>0.1</v>
      </c>
      <c r="AH37" s="82" t="str">
        <f t="shared" si="21"/>
        <v>n/a</v>
      </c>
    </row>
    <row r="38" spans="1:34" ht="14.5" customHeight="1" x14ac:dyDescent="0.35">
      <c r="A38">
        <v>4</v>
      </c>
      <c r="B38" t="s">
        <v>39</v>
      </c>
      <c r="C38" s="78" t="str">
        <f>'Relevanz-Gewichtung-Parameter'!I79</f>
        <v/>
      </c>
      <c r="D38" s="73" t="s">
        <v>173</v>
      </c>
      <c r="E38" s="74">
        <v>1</v>
      </c>
      <c r="F38" s="74"/>
      <c r="G38" s="74"/>
      <c r="H38" s="74"/>
      <c r="I38" s="74">
        <v>0.1</v>
      </c>
      <c r="J38" s="37" t="str">
        <f t="shared" si="8"/>
        <v>n/a</v>
      </c>
      <c r="N38" s="80">
        <f t="shared" si="9"/>
        <v>1</v>
      </c>
      <c r="O38" s="80">
        <f t="shared" si="10"/>
        <v>0.99990000000000001</v>
      </c>
      <c r="P38" s="80">
        <f t="shared" si="11"/>
        <v>0</v>
      </c>
      <c r="Q38" s="80">
        <f t="shared" si="12"/>
        <v>-1E-4</v>
      </c>
      <c r="R38" s="80">
        <f t="shared" si="13"/>
        <v>0</v>
      </c>
      <c r="S38" s="80">
        <f t="shared" si="14"/>
        <v>-1E-4</v>
      </c>
      <c r="T38" s="80">
        <f t="shared" si="15"/>
        <v>0</v>
      </c>
      <c r="U38" s="80">
        <f t="shared" si="16"/>
        <v>0.1</v>
      </c>
      <c r="V38" s="14"/>
      <c r="W38" s="82" t="str">
        <f t="shared" si="20"/>
        <v>n/a</v>
      </c>
      <c r="X38" s="14"/>
      <c r="Y38" s="80">
        <f t="shared" si="18"/>
        <v>1</v>
      </c>
      <c r="Z38" s="80">
        <f t="shared" si="0"/>
        <v>0.99990000000000001</v>
      </c>
      <c r="AA38" s="80">
        <f t="shared" si="1"/>
        <v>0</v>
      </c>
      <c r="AB38" s="80">
        <f t="shared" si="2"/>
        <v>-1E-4</v>
      </c>
      <c r="AC38" s="80">
        <f t="shared" si="3"/>
        <v>0</v>
      </c>
      <c r="AD38" s="80">
        <f t="shared" si="4"/>
        <v>-1E-4</v>
      </c>
      <c r="AE38" s="80">
        <f t="shared" si="5"/>
        <v>0</v>
      </c>
      <c r="AF38" s="80">
        <f t="shared" si="6"/>
        <v>0.1</v>
      </c>
      <c r="AH38" s="82" t="str">
        <f t="shared" si="21"/>
        <v>n/a</v>
      </c>
    </row>
    <row r="39" spans="1:34" ht="14.5" customHeight="1" x14ac:dyDescent="0.35">
      <c r="A39">
        <v>5</v>
      </c>
      <c r="B39" t="s">
        <v>40</v>
      </c>
      <c r="C39" s="78" t="str">
        <f>'Relevanz-Gewichtung-Parameter'!I81</f>
        <v/>
      </c>
      <c r="D39" s="73" t="s">
        <v>173</v>
      </c>
      <c r="E39" s="74">
        <v>1</v>
      </c>
      <c r="F39" s="74"/>
      <c r="G39" s="74"/>
      <c r="H39" s="74"/>
      <c r="I39" s="74">
        <v>0.1</v>
      </c>
      <c r="J39" s="37" t="str">
        <f t="shared" si="8"/>
        <v>n/a</v>
      </c>
      <c r="N39" s="80">
        <f t="shared" si="9"/>
        <v>1</v>
      </c>
      <c r="O39" s="80">
        <f t="shared" si="10"/>
        <v>0.99990000000000001</v>
      </c>
      <c r="P39" s="80">
        <f t="shared" si="11"/>
        <v>0</v>
      </c>
      <c r="Q39" s="80">
        <f t="shared" si="12"/>
        <v>-1E-4</v>
      </c>
      <c r="R39" s="80">
        <f t="shared" si="13"/>
        <v>0</v>
      </c>
      <c r="S39" s="80">
        <f t="shared" si="14"/>
        <v>-1E-4</v>
      </c>
      <c r="T39" s="80">
        <f t="shared" si="15"/>
        <v>0</v>
      </c>
      <c r="U39" s="80">
        <f t="shared" si="16"/>
        <v>0.1</v>
      </c>
      <c r="V39" s="14"/>
      <c r="W39" s="82" t="str">
        <f t="shared" si="20"/>
        <v>n/a</v>
      </c>
      <c r="X39" s="14"/>
      <c r="Y39" s="80">
        <f t="shared" si="18"/>
        <v>1</v>
      </c>
      <c r="Z39" s="80">
        <f t="shared" si="0"/>
        <v>0.99990000000000001</v>
      </c>
      <c r="AA39" s="80">
        <f t="shared" si="1"/>
        <v>0</v>
      </c>
      <c r="AB39" s="80">
        <f t="shared" si="2"/>
        <v>-1E-4</v>
      </c>
      <c r="AC39" s="80">
        <f t="shared" si="3"/>
        <v>0</v>
      </c>
      <c r="AD39" s="80">
        <f t="shared" si="4"/>
        <v>-1E-4</v>
      </c>
      <c r="AE39" s="80">
        <f t="shared" si="5"/>
        <v>0</v>
      </c>
      <c r="AF39" s="80">
        <f t="shared" si="6"/>
        <v>0.1</v>
      </c>
      <c r="AH39" s="82" t="str">
        <f t="shared" si="21"/>
        <v>n/a</v>
      </c>
    </row>
    <row r="40" spans="1:34" x14ac:dyDescent="0.35">
      <c r="A40">
        <v>6</v>
      </c>
      <c r="B40" t="s">
        <v>37</v>
      </c>
      <c r="C40" s="78" t="str">
        <f>'Relevanz-Gewichtung-Parameter'!I83</f>
        <v/>
      </c>
      <c r="D40" s="73" t="s">
        <v>173</v>
      </c>
      <c r="E40" s="74">
        <v>1</v>
      </c>
      <c r="F40" s="74"/>
      <c r="G40" s="74"/>
      <c r="H40" s="74"/>
      <c r="I40" s="74">
        <v>0.1</v>
      </c>
      <c r="J40" s="37" t="str">
        <f t="shared" si="8"/>
        <v>n/a</v>
      </c>
      <c r="N40" s="80">
        <f t="shared" si="9"/>
        <v>1</v>
      </c>
      <c r="O40" s="80">
        <f t="shared" si="10"/>
        <v>0.99990000000000001</v>
      </c>
      <c r="P40" s="80">
        <f t="shared" si="11"/>
        <v>0</v>
      </c>
      <c r="Q40" s="80">
        <f t="shared" si="12"/>
        <v>-1E-4</v>
      </c>
      <c r="R40" s="80">
        <f t="shared" si="13"/>
        <v>0</v>
      </c>
      <c r="S40" s="80">
        <f t="shared" si="14"/>
        <v>-1E-4</v>
      </c>
      <c r="T40" s="80">
        <f t="shared" si="15"/>
        <v>0</v>
      </c>
      <c r="U40" s="80">
        <f t="shared" si="16"/>
        <v>0.1</v>
      </c>
      <c r="V40" s="14"/>
      <c r="W40" s="82" t="str">
        <f t="shared" si="20"/>
        <v>n/a</v>
      </c>
      <c r="X40" s="14"/>
      <c r="Y40" s="80">
        <f t="shared" si="18"/>
        <v>1</v>
      </c>
      <c r="Z40" s="80">
        <f t="shared" si="0"/>
        <v>0.99990000000000001</v>
      </c>
      <c r="AA40" s="80">
        <f t="shared" si="1"/>
        <v>0</v>
      </c>
      <c r="AB40" s="80">
        <f t="shared" si="2"/>
        <v>-1E-4</v>
      </c>
      <c r="AC40" s="80">
        <f t="shared" si="3"/>
        <v>0</v>
      </c>
      <c r="AD40" s="80">
        <f t="shared" si="4"/>
        <v>-1E-4</v>
      </c>
      <c r="AE40" s="80">
        <f t="shared" si="5"/>
        <v>0</v>
      </c>
      <c r="AF40" s="80">
        <f t="shared" si="6"/>
        <v>0.1</v>
      </c>
      <c r="AH40" s="82" t="str">
        <f t="shared" si="21"/>
        <v>n/a</v>
      </c>
    </row>
    <row r="41" spans="1:34" x14ac:dyDescent="0.35">
      <c r="A41">
        <v>7</v>
      </c>
      <c r="B41" t="s">
        <v>44</v>
      </c>
      <c r="C41" s="78" t="str">
        <f>'Relevanz-Gewichtung-Parameter'!I85</f>
        <v/>
      </c>
      <c r="D41" s="73" t="s">
        <v>172</v>
      </c>
      <c r="E41" s="74">
        <v>1</v>
      </c>
      <c r="F41" s="74"/>
      <c r="G41" s="74"/>
      <c r="H41" s="74"/>
      <c r="I41" s="74">
        <v>0.1</v>
      </c>
      <c r="J41" s="37" t="str">
        <f t="shared" si="8"/>
        <v>n/a</v>
      </c>
      <c r="N41" s="80">
        <f t="shared" si="9"/>
        <v>1</v>
      </c>
      <c r="O41" s="80">
        <f t="shared" si="10"/>
        <v>0.99990000000000001</v>
      </c>
      <c r="P41" s="80">
        <f t="shared" si="11"/>
        <v>0</v>
      </c>
      <c r="Q41" s="80">
        <f t="shared" si="12"/>
        <v>-1E-4</v>
      </c>
      <c r="R41" s="80">
        <f t="shared" si="13"/>
        <v>0</v>
      </c>
      <c r="S41" s="80">
        <f t="shared" si="14"/>
        <v>-1E-4</v>
      </c>
      <c r="T41" s="80">
        <f t="shared" si="15"/>
        <v>0</v>
      </c>
      <c r="U41" s="80">
        <f t="shared" si="16"/>
        <v>0.1</v>
      </c>
      <c r="V41" s="14"/>
      <c r="W41" s="82" t="str">
        <f t="shared" si="20"/>
        <v>n/a</v>
      </c>
      <c r="X41" s="14"/>
      <c r="Y41" s="80">
        <f t="shared" si="18"/>
        <v>1</v>
      </c>
      <c r="Z41" s="80">
        <f t="shared" si="0"/>
        <v>0.99990000000000001</v>
      </c>
      <c r="AA41" s="80">
        <f t="shared" si="1"/>
        <v>0</v>
      </c>
      <c r="AB41" s="80">
        <f t="shared" si="2"/>
        <v>-1E-4</v>
      </c>
      <c r="AC41" s="80">
        <f t="shared" si="3"/>
        <v>0</v>
      </c>
      <c r="AD41" s="80">
        <f t="shared" si="4"/>
        <v>-1E-4</v>
      </c>
      <c r="AE41" s="80">
        <f t="shared" si="5"/>
        <v>0</v>
      </c>
      <c r="AF41" s="80">
        <f t="shared" si="6"/>
        <v>0.1</v>
      </c>
      <c r="AH41" s="82" t="str">
        <f t="shared" si="21"/>
        <v>n/a</v>
      </c>
    </row>
    <row r="42" spans="1:34" x14ac:dyDescent="0.35">
      <c r="A42">
        <v>8</v>
      </c>
      <c r="B42" t="s">
        <v>45</v>
      </c>
      <c r="C42" s="78" t="str">
        <f>'Relevanz-Gewichtung-Parameter'!I86</f>
        <v/>
      </c>
      <c r="D42" s="73" t="s">
        <v>172</v>
      </c>
      <c r="E42" s="74">
        <v>1</v>
      </c>
      <c r="F42" s="74"/>
      <c r="G42" s="74"/>
      <c r="H42" s="74"/>
      <c r="I42" s="74">
        <v>0.1</v>
      </c>
      <c r="J42" s="37" t="str">
        <f t="shared" si="8"/>
        <v>n/a</v>
      </c>
      <c r="N42" s="80">
        <f t="shared" si="9"/>
        <v>1</v>
      </c>
      <c r="O42" s="80">
        <f t="shared" si="10"/>
        <v>0.99990000000000001</v>
      </c>
      <c r="P42" s="80">
        <f t="shared" si="11"/>
        <v>0</v>
      </c>
      <c r="Q42" s="80">
        <f t="shared" si="12"/>
        <v>-1E-4</v>
      </c>
      <c r="R42" s="80">
        <f t="shared" si="13"/>
        <v>0</v>
      </c>
      <c r="S42" s="80">
        <f t="shared" si="14"/>
        <v>-1E-4</v>
      </c>
      <c r="T42" s="80">
        <f t="shared" si="15"/>
        <v>0</v>
      </c>
      <c r="U42" s="80">
        <f t="shared" si="16"/>
        <v>0.1</v>
      </c>
      <c r="V42" s="14"/>
      <c r="W42" s="82" t="str">
        <f t="shared" si="20"/>
        <v>n/a</v>
      </c>
      <c r="X42" s="14"/>
      <c r="Y42" s="80">
        <f t="shared" si="18"/>
        <v>1</v>
      </c>
      <c r="Z42" s="80">
        <f t="shared" si="0"/>
        <v>0.99990000000000001</v>
      </c>
      <c r="AA42" s="80">
        <f t="shared" si="1"/>
        <v>0</v>
      </c>
      <c r="AB42" s="80">
        <f t="shared" si="2"/>
        <v>-1E-4</v>
      </c>
      <c r="AC42" s="80">
        <f t="shared" si="3"/>
        <v>0</v>
      </c>
      <c r="AD42" s="80">
        <f t="shared" si="4"/>
        <v>-1E-4</v>
      </c>
      <c r="AE42" s="80">
        <f t="shared" si="5"/>
        <v>0</v>
      </c>
      <c r="AF42" s="80">
        <f t="shared" si="6"/>
        <v>0.1</v>
      </c>
      <c r="AH42" s="82" t="str">
        <f t="shared" si="21"/>
        <v>n/a</v>
      </c>
    </row>
    <row r="43" spans="1:34" x14ac:dyDescent="0.35">
      <c r="A43">
        <v>9</v>
      </c>
      <c r="B43" t="s">
        <v>46</v>
      </c>
      <c r="C43" s="78" t="str">
        <f>'Relevanz-Gewichtung-Parameter'!I87</f>
        <v/>
      </c>
      <c r="D43" s="73" t="s">
        <v>172</v>
      </c>
      <c r="E43" s="74">
        <v>1</v>
      </c>
      <c r="F43" s="74"/>
      <c r="G43" s="74"/>
      <c r="H43" s="74"/>
      <c r="I43" s="74">
        <v>0.1</v>
      </c>
      <c r="J43" s="37" t="str">
        <f t="shared" si="8"/>
        <v>n/a</v>
      </c>
      <c r="N43" s="80">
        <f t="shared" si="9"/>
        <v>1</v>
      </c>
      <c r="O43" s="80">
        <f t="shared" si="10"/>
        <v>0.99990000000000001</v>
      </c>
      <c r="P43" s="80">
        <f t="shared" si="11"/>
        <v>0</v>
      </c>
      <c r="Q43" s="80">
        <f t="shared" si="12"/>
        <v>-1E-4</v>
      </c>
      <c r="R43" s="80">
        <f t="shared" si="13"/>
        <v>0</v>
      </c>
      <c r="S43" s="80">
        <f t="shared" si="14"/>
        <v>-1E-4</v>
      </c>
      <c r="T43" s="80">
        <f t="shared" si="15"/>
        <v>0</v>
      </c>
      <c r="U43" s="80">
        <f t="shared" si="16"/>
        <v>0.1</v>
      </c>
      <c r="V43" s="14"/>
      <c r="W43" s="82" t="str">
        <f t="shared" si="20"/>
        <v>n/a</v>
      </c>
      <c r="X43" s="14"/>
      <c r="Y43" s="80">
        <f t="shared" si="18"/>
        <v>1</v>
      </c>
      <c r="Z43" s="80">
        <f t="shared" si="0"/>
        <v>0.99990000000000001</v>
      </c>
      <c r="AA43" s="80">
        <f t="shared" si="1"/>
        <v>0</v>
      </c>
      <c r="AB43" s="80">
        <f t="shared" si="2"/>
        <v>-1E-4</v>
      </c>
      <c r="AC43" s="80">
        <f t="shared" si="3"/>
        <v>0</v>
      </c>
      <c r="AD43" s="80">
        <f t="shared" si="4"/>
        <v>-1E-4</v>
      </c>
      <c r="AE43" s="80">
        <f t="shared" si="5"/>
        <v>0</v>
      </c>
      <c r="AF43" s="80">
        <f t="shared" si="6"/>
        <v>0.1</v>
      </c>
      <c r="AH43" s="82" t="str">
        <f t="shared" si="21"/>
        <v>n/a</v>
      </c>
    </row>
    <row r="44" spans="1:34" x14ac:dyDescent="0.35">
      <c r="A44">
        <v>10</v>
      </c>
      <c r="B44" t="s">
        <v>41</v>
      </c>
      <c r="C44" s="78" t="str">
        <f>'Relevanz-Gewichtung-Parameter'!I89</f>
        <v/>
      </c>
      <c r="D44" s="73" t="s">
        <v>172</v>
      </c>
      <c r="E44" s="74">
        <v>8</v>
      </c>
      <c r="F44" s="74">
        <v>5</v>
      </c>
      <c r="G44" s="74">
        <v>3</v>
      </c>
      <c r="H44" s="74">
        <v>1.5</v>
      </c>
      <c r="I44" s="74">
        <v>1</v>
      </c>
      <c r="J44" s="37" t="str">
        <f t="shared" si="8"/>
        <v>n/a</v>
      </c>
      <c r="N44" s="80">
        <f t="shared" si="9"/>
        <v>8</v>
      </c>
      <c r="O44" s="80">
        <f t="shared" si="10"/>
        <v>7.9999000000000002</v>
      </c>
      <c r="P44" s="80">
        <f t="shared" si="11"/>
        <v>5</v>
      </c>
      <c r="Q44" s="80">
        <f t="shared" si="12"/>
        <v>4.9999000000000002</v>
      </c>
      <c r="R44" s="80">
        <f t="shared" si="13"/>
        <v>3</v>
      </c>
      <c r="S44" s="80">
        <f t="shared" si="14"/>
        <v>2.9998999999999998</v>
      </c>
      <c r="T44" s="80">
        <f t="shared" si="15"/>
        <v>1.5</v>
      </c>
      <c r="U44" s="80">
        <f t="shared" si="16"/>
        <v>1</v>
      </c>
      <c r="V44" s="14"/>
      <c r="W44" s="40" t="str">
        <f t="shared" si="17"/>
        <v>n/a</v>
      </c>
      <c r="X44" s="14"/>
      <c r="Y44" s="80">
        <f t="shared" si="18"/>
        <v>8</v>
      </c>
      <c r="Z44" s="80">
        <f t="shared" si="0"/>
        <v>7.9999000000000002</v>
      </c>
      <c r="AA44" s="80">
        <f t="shared" si="1"/>
        <v>5</v>
      </c>
      <c r="AB44" s="80">
        <f t="shared" si="2"/>
        <v>4.9999000000000002</v>
      </c>
      <c r="AC44" s="80">
        <f t="shared" si="3"/>
        <v>3</v>
      </c>
      <c r="AD44" s="80">
        <f t="shared" si="4"/>
        <v>2.9998999999999998</v>
      </c>
      <c r="AE44" s="80">
        <f t="shared" si="5"/>
        <v>1.5</v>
      </c>
      <c r="AF44" s="80">
        <f t="shared" si="6"/>
        <v>1</v>
      </c>
      <c r="AH44" s="82" t="str">
        <f t="shared" si="21"/>
        <v>n/a</v>
      </c>
    </row>
    <row r="45" spans="1:34" x14ac:dyDescent="0.35">
      <c r="B45" s="21" t="s">
        <v>119</v>
      </c>
      <c r="C45" s="24"/>
      <c r="D45" s="24"/>
      <c r="E45" s="35"/>
      <c r="F45" s="35"/>
      <c r="G45" s="35"/>
      <c r="H45" s="35"/>
      <c r="I45" s="35"/>
      <c r="J45" s="38"/>
      <c r="N45" s="80">
        <f t="shared" si="9"/>
        <v>0</v>
      </c>
      <c r="O45" s="80">
        <f t="shared" si="10"/>
        <v>-1E-4</v>
      </c>
      <c r="P45" s="80">
        <f t="shared" si="11"/>
        <v>0</v>
      </c>
      <c r="Q45" s="80">
        <f t="shared" si="12"/>
        <v>-1E-4</v>
      </c>
      <c r="R45" s="80">
        <f t="shared" si="13"/>
        <v>0</v>
      </c>
      <c r="S45" s="80">
        <f t="shared" si="14"/>
        <v>-1E-4</v>
      </c>
      <c r="T45" s="80">
        <f t="shared" si="15"/>
        <v>0</v>
      </c>
      <c r="U45" s="80">
        <f t="shared" si="16"/>
        <v>0</v>
      </c>
      <c r="V45" s="14"/>
      <c r="W45" s="40" t="str">
        <f t="shared" si="17"/>
        <v>n/a</v>
      </c>
      <c r="X45" s="14"/>
      <c r="Y45" s="80">
        <f t="shared" si="18"/>
        <v>0</v>
      </c>
      <c r="Z45" s="80">
        <f t="shared" si="0"/>
        <v>-1E-4</v>
      </c>
      <c r="AA45" s="80">
        <f t="shared" si="1"/>
        <v>0</v>
      </c>
      <c r="AB45" s="80">
        <f t="shared" si="2"/>
        <v>-1E-4</v>
      </c>
      <c r="AC45" s="80">
        <f t="shared" si="3"/>
        <v>0</v>
      </c>
      <c r="AD45" s="80">
        <f t="shared" si="4"/>
        <v>-1E-4</v>
      </c>
      <c r="AE45" s="80">
        <f t="shared" si="5"/>
        <v>0</v>
      </c>
      <c r="AF45" s="80">
        <f t="shared" si="6"/>
        <v>0</v>
      </c>
      <c r="AH45" s="40" t="str">
        <f t="shared" si="19"/>
        <v>n/a</v>
      </c>
    </row>
    <row r="46" spans="1:34" x14ac:dyDescent="0.35">
      <c r="A46">
        <v>1</v>
      </c>
      <c r="B46" t="s">
        <v>54</v>
      </c>
      <c r="C46" s="78" t="str">
        <f>'Relevanz-Gewichtung-Parameter'!I97</f>
        <v/>
      </c>
      <c r="D46" s="19" t="s">
        <v>172</v>
      </c>
      <c r="E46" s="77">
        <v>5</v>
      </c>
      <c r="F46" s="77">
        <v>4</v>
      </c>
      <c r="G46" s="77">
        <v>3</v>
      </c>
      <c r="H46" s="77">
        <v>2</v>
      </c>
      <c r="I46" s="77">
        <v>1</v>
      </c>
      <c r="J46" s="37" t="str">
        <f t="shared" si="8"/>
        <v>n/a</v>
      </c>
      <c r="N46" s="80">
        <f t="shared" si="9"/>
        <v>5</v>
      </c>
      <c r="O46" s="80">
        <f t="shared" si="10"/>
        <v>4.9999000000000002</v>
      </c>
      <c r="P46" s="80">
        <f t="shared" si="11"/>
        <v>4</v>
      </c>
      <c r="Q46" s="80">
        <f t="shared" si="12"/>
        <v>3.9998999999999998</v>
      </c>
      <c r="R46" s="80">
        <f t="shared" si="13"/>
        <v>3</v>
      </c>
      <c r="S46" s="80">
        <f t="shared" si="14"/>
        <v>2.9998999999999998</v>
      </c>
      <c r="T46" s="80">
        <f t="shared" si="15"/>
        <v>2</v>
      </c>
      <c r="U46" s="80">
        <f t="shared" si="16"/>
        <v>1</v>
      </c>
      <c r="V46" s="14"/>
      <c r="W46" s="40" t="str">
        <f t="shared" si="17"/>
        <v>n/a</v>
      </c>
      <c r="X46" s="14"/>
      <c r="Y46" s="80">
        <f t="shared" si="18"/>
        <v>5</v>
      </c>
      <c r="Z46" s="80">
        <f t="shared" si="0"/>
        <v>4.9999000000000002</v>
      </c>
      <c r="AA46" s="80">
        <f t="shared" si="1"/>
        <v>4</v>
      </c>
      <c r="AB46" s="80">
        <f t="shared" si="2"/>
        <v>3.9998999999999998</v>
      </c>
      <c r="AC46" s="80">
        <f t="shared" si="3"/>
        <v>3</v>
      </c>
      <c r="AD46" s="80">
        <f t="shared" si="4"/>
        <v>2.9998999999999998</v>
      </c>
      <c r="AE46" s="80">
        <f t="shared" si="5"/>
        <v>2</v>
      </c>
      <c r="AF46" s="80">
        <f t="shared" si="6"/>
        <v>1</v>
      </c>
      <c r="AH46" s="40" t="str">
        <f t="shared" si="19"/>
        <v>n/a</v>
      </c>
    </row>
    <row r="47" spans="1:34" x14ac:dyDescent="0.35">
      <c r="A47">
        <v>2</v>
      </c>
      <c r="B47" t="s">
        <v>55</v>
      </c>
      <c r="C47" s="78" t="str">
        <f>'Relevanz-Gewichtung-Parameter'!I98</f>
        <v/>
      </c>
      <c r="D47" s="19" t="s">
        <v>172</v>
      </c>
      <c r="E47" s="77">
        <v>5</v>
      </c>
      <c r="F47" s="77">
        <v>4</v>
      </c>
      <c r="G47" s="77">
        <v>3</v>
      </c>
      <c r="H47" s="77">
        <v>2</v>
      </c>
      <c r="I47" s="77">
        <v>1</v>
      </c>
      <c r="J47" s="37" t="str">
        <f t="shared" si="8"/>
        <v>n/a</v>
      </c>
      <c r="N47" s="80">
        <f t="shared" si="9"/>
        <v>5</v>
      </c>
      <c r="O47" s="80">
        <f t="shared" si="10"/>
        <v>4.9999000000000002</v>
      </c>
      <c r="P47" s="80">
        <f t="shared" si="11"/>
        <v>4</v>
      </c>
      <c r="Q47" s="80">
        <f t="shared" si="12"/>
        <v>3.9998999999999998</v>
      </c>
      <c r="R47" s="80">
        <f t="shared" si="13"/>
        <v>3</v>
      </c>
      <c r="S47" s="80">
        <f t="shared" si="14"/>
        <v>2.9998999999999998</v>
      </c>
      <c r="T47" s="80">
        <f t="shared" si="15"/>
        <v>2</v>
      </c>
      <c r="U47" s="80">
        <f t="shared" si="16"/>
        <v>1</v>
      </c>
      <c r="V47" s="14"/>
      <c r="W47" s="40" t="str">
        <f t="shared" si="17"/>
        <v>n/a</v>
      </c>
      <c r="X47" s="14"/>
      <c r="Y47" s="80">
        <f t="shared" si="18"/>
        <v>5</v>
      </c>
      <c r="Z47" s="80">
        <f t="shared" si="0"/>
        <v>4.9999000000000002</v>
      </c>
      <c r="AA47" s="80">
        <f t="shared" si="1"/>
        <v>4</v>
      </c>
      <c r="AB47" s="80">
        <f t="shared" si="2"/>
        <v>3.9998999999999998</v>
      </c>
      <c r="AC47" s="80">
        <f t="shared" si="3"/>
        <v>3</v>
      </c>
      <c r="AD47" s="80">
        <f t="shared" si="4"/>
        <v>2.9998999999999998</v>
      </c>
      <c r="AE47" s="80">
        <f t="shared" si="5"/>
        <v>2</v>
      </c>
      <c r="AF47" s="80">
        <f t="shared" si="6"/>
        <v>1</v>
      </c>
      <c r="AH47" s="40" t="str">
        <f t="shared" si="19"/>
        <v>n/a</v>
      </c>
    </row>
    <row r="48" spans="1:34" x14ac:dyDescent="0.35">
      <c r="A48">
        <v>3</v>
      </c>
      <c r="B48" t="s">
        <v>65</v>
      </c>
      <c r="C48" s="78" t="str">
        <f>'Relevanz-Gewichtung-Parameter'!I100</f>
        <v/>
      </c>
      <c r="D48" s="19" t="s">
        <v>172</v>
      </c>
      <c r="E48" s="77">
        <v>5</v>
      </c>
      <c r="F48" s="77">
        <v>4</v>
      </c>
      <c r="G48" s="77">
        <v>3</v>
      </c>
      <c r="H48" s="77">
        <v>2</v>
      </c>
      <c r="I48" s="77">
        <v>1</v>
      </c>
      <c r="J48" s="37" t="str">
        <f t="shared" si="8"/>
        <v>n/a</v>
      </c>
      <c r="N48" s="80">
        <f t="shared" si="9"/>
        <v>5</v>
      </c>
      <c r="O48" s="80">
        <f t="shared" si="10"/>
        <v>4.9999000000000002</v>
      </c>
      <c r="P48" s="80">
        <f t="shared" si="11"/>
        <v>4</v>
      </c>
      <c r="Q48" s="80">
        <f t="shared" si="12"/>
        <v>3.9998999999999998</v>
      </c>
      <c r="R48" s="80">
        <f t="shared" si="13"/>
        <v>3</v>
      </c>
      <c r="S48" s="80">
        <f t="shared" si="14"/>
        <v>2.9998999999999998</v>
      </c>
      <c r="T48" s="80">
        <f t="shared" si="15"/>
        <v>2</v>
      </c>
      <c r="U48" s="80">
        <f t="shared" si="16"/>
        <v>1</v>
      </c>
      <c r="V48" s="14"/>
      <c r="W48" s="40" t="str">
        <f t="shared" si="17"/>
        <v>n/a</v>
      </c>
      <c r="X48" s="14"/>
      <c r="Y48" s="80">
        <f t="shared" si="18"/>
        <v>5</v>
      </c>
      <c r="Z48" s="80">
        <f t="shared" si="0"/>
        <v>4.9999000000000002</v>
      </c>
      <c r="AA48" s="80">
        <f t="shared" si="1"/>
        <v>4</v>
      </c>
      <c r="AB48" s="80">
        <f t="shared" si="2"/>
        <v>3.9998999999999998</v>
      </c>
      <c r="AC48" s="80">
        <f t="shared" si="3"/>
        <v>3</v>
      </c>
      <c r="AD48" s="80">
        <f t="shared" si="4"/>
        <v>2.9998999999999998</v>
      </c>
      <c r="AE48" s="80">
        <f t="shared" si="5"/>
        <v>2</v>
      </c>
      <c r="AF48" s="80">
        <f t="shared" si="6"/>
        <v>1</v>
      </c>
      <c r="AH48" s="40" t="str">
        <f t="shared" si="19"/>
        <v>n/a</v>
      </c>
    </row>
    <row r="49" spans="1:34" x14ac:dyDescent="0.35">
      <c r="A49">
        <v>4</v>
      </c>
      <c r="B49" t="s">
        <v>66</v>
      </c>
      <c r="C49" s="78" t="str">
        <f>'Relevanz-Gewichtung-Parameter'!I101</f>
        <v/>
      </c>
      <c r="D49" s="19" t="s">
        <v>172</v>
      </c>
      <c r="E49" s="77">
        <v>5</v>
      </c>
      <c r="F49" s="77">
        <v>4</v>
      </c>
      <c r="G49" s="77">
        <v>3</v>
      </c>
      <c r="H49" s="77">
        <v>2</v>
      </c>
      <c r="I49" s="77">
        <v>1</v>
      </c>
      <c r="J49" s="37" t="str">
        <f t="shared" si="8"/>
        <v>n/a</v>
      </c>
      <c r="N49" s="80">
        <f t="shared" si="9"/>
        <v>5</v>
      </c>
      <c r="O49" s="80">
        <f t="shared" si="10"/>
        <v>4.9999000000000002</v>
      </c>
      <c r="P49" s="80">
        <f t="shared" si="11"/>
        <v>4</v>
      </c>
      <c r="Q49" s="80">
        <f t="shared" si="12"/>
        <v>3.9998999999999998</v>
      </c>
      <c r="R49" s="80">
        <f t="shared" si="13"/>
        <v>3</v>
      </c>
      <c r="S49" s="80">
        <f t="shared" si="14"/>
        <v>2.9998999999999998</v>
      </c>
      <c r="T49" s="80">
        <f t="shared" si="15"/>
        <v>2</v>
      </c>
      <c r="U49" s="80">
        <f t="shared" si="16"/>
        <v>1</v>
      </c>
      <c r="V49" s="14"/>
      <c r="W49" s="40" t="str">
        <f t="shared" si="17"/>
        <v>n/a</v>
      </c>
      <c r="X49" s="14"/>
      <c r="Y49" s="80">
        <f t="shared" si="18"/>
        <v>5</v>
      </c>
      <c r="Z49" s="80">
        <f t="shared" si="0"/>
        <v>4.9999000000000002</v>
      </c>
      <c r="AA49" s="80">
        <f t="shared" si="1"/>
        <v>4</v>
      </c>
      <c r="AB49" s="80">
        <f t="shared" si="2"/>
        <v>3.9998999999999998</v>
      </c>
      <c r="AC49" s="80">
        <f t="shared" si="3"/>
        <v>3</v>
      </c>
      <c r="AD49" s="80">
        <f t="shared" si="4"/>
        <v>2.9998999999999998</v>
      </c>
      <c r="AE49" s="80">
        <f t="shared" si="5"/>
        <v>2</v>
      </c>
      <c r="AF49" s="80">
        <f t="shared" si="6"/>
        <v>1</v>
      </c>
      <c r="AH49" s="40" t="str">
        <f t="shared" si="19"/>
        <v>n/a</v>
      </c>
    </row>
    <row r="50" spans="1:34" x14ac:dyDescent="0.35">
      <c r="A50">
        <v>5</v>
      </c>
      <c r="B50" t="s">
        <v>67</v>
      </c>
      <c r="C50" s="78" t="str">
        <f>'Relevanz-Gewichtung-Parameter'!I102</f>
        <v/>
      </c>
      <c r="D50" s="19" t="s">
        <v>172</v>
      </c>
      <c r="E50" s="77">
        <v>5</v>
      </c>
      <c r="F50" s="77">
        <v>4</v>
      </c>
      <c r="G50" s="77">
        <v>3</v>
      </c>
      <c r="H50" s="77">
        <v>2</v>
      </c>
      <c r="I50" s="77">
        <v>1</v>
      </c>
      <c r="J50" s="37" t="str">
        <f t="shared" si="8"/>
        <v>n/a</v>
      </c>
      <c r="N50" s="80">
        <f t="shared" si="9"/>
        <v>5</v>
      </c>
      <c r="O50" s="80">
        <f t="shared" si="10"/>
        <v>4.9999000000000002</v>
      </c>
      <c r="P50" s="80">
        <f t="shared" si="11"/>
        <v>4</v>
      </c>
      <c r="Q50" s="80">
        <f t="shared" si="12"/>
        <v>3.9998999999999998</v>
      </c>
      <c r="R50" s="80">
        <f t="shared" si="13"/>
        <v>3</v>
      </c>
      <c r="S50" s="80">
        <f t="shared" si="14"/>
        <v>2.9998999999999998</v>
      </c>
      <c r="T50" s="80">
        <f t="shared" si="15"/>
        <v>2</v>
      </c>
      <c r="U50" s="80">
        <f t="shared" si="16"/>
        <v>1</v>
      </c>
      <c r="V50" s="14"/>
      <c r="W50" s="40" t="str">
        <f t="shared" si="17"/>
        <v>n/a</v>
      </c>
      <c r="X50" s="14"/>
      <c r="Y50" s="80">
        <f t="shared" si="18"/>
        <v>5</v>
      </c>
      <c r="Z50" s="80">
        <f t="shared" si="0"/>
        <v>4.9999000000000002</v>
      </c>
      <c r="AA50" s="80">
        <f t="shared" si="1"/>
        <v>4</v>
      </c>
      <c r="AB50" s="80">
        <f t="shared" si="2"/>
        <v>3.9998999999999998</v>
      </c>
      <c r="AC50" s="80">
        <f t="shared" si="3"/>
        <v>3</v>
      </c>
      <c r="AD50" s="80">
        <f t="shared" si="4"/>
        <v>2.9998999999999998</v>
      </c>
      <c r="AE50" s="80">
        <f t="shared" si="5"/>
        <v>2</v>
      </c>
      <c r="AF50" s="80">
        <f t="shared" si="6"/>
        <v>1</v>
      </c>
      <c r="AH50" s="40" t="str">
        <f t="shared" si="19"/>
        <v>n/a</v>
      </c>
    </row>
    <row r="51" spans="1:34" x14ac:dyDescent="0.35">
      <c r="A51">
        <v>6</v>
      </c>
      <c r="B51" t="s">
        <v>68</v>
      </c>
      <c r="C51" s="78" t="str">
        <f>'Relevanz-Gewichtung-Parameter'!I103</f>
        <v/>
      </c>
      <c r="D51" s="19" t="s">
        <v>172</v>
      </c>
      <c r="E51" s="77">
        <v>5</v>
      </c>
      <c r="F51" s="77">
        <v>4</v>
      </c>
      <c r="G51" s="77">
        <v>3</v>
      </c>
      <c r="H51" s="77">
        <v>2</v>
      </c>
      <c r="I51" s="77">
        <v>1</v>
      </c>
      <c r="J51" s="37" t="str">
        <f t="shared" si="8"/>
        <v>n/a</v>
      </c>
      <c r="N51" s="80">
        <f t="shared" si="9"/>
        <v>5</v>
      </c>
      <c r="O51" s="80">
        <f t="shared" si="10"/>
        <v>4.9999000000000002</v>
      </c>
      <c r="P51" s="80">
        <f t="shared" si="11"/>
        <v>4</v>
      </c>
      <c r="Q51" s="80">
        <f t="shared" si="12"/>
        <v>3.9998999999999998</v>
      </c>
      <c r="R51" s="80">
        <f t="shared" si="13"/>
        <v>3</v>
      </c>
      <c r="S51" s="80">
        <f t="shared" si="14"/>
        <v>2.9998999999999998</v>
      </c>
      <c r="T51" s="80">
        <f t="shared" si="15"/>
        <v>2</v>
      </c>
      <c r="U51" s="80">
        <f t="shared" si="16"/>
        <v>1</v>
      </c>
      <c r="V51" s="14"/>
      <c r="W51" s="40" t="str">
        <f t="shared" si="17"/>
        <v>n/a</v>
      </c>
      <c r="X51" s="14"/>
      <c r="Y51" s="80">
        <f t="shared" si="18"/>
        <v>5</v>
      </c>
      <c r="Z51" s="80">
        <f t="shared" si="0"/>
        <v>4.9999000000000002</v>
      </c>
      <c r="AA51" s="80">
        <f t="shared" si="1"/>
        <v>4</v>
      </c>
      <c r="AB51" s="80">
        <f t="shared" si="2"/>
        <v>3.9998999999999998</v>
      </c>
      <c r="AC51" s="80">
        <f t="shared" si="3"/>
        <v>3</v>
      </c>
      <c r="AD51" s="80">
        <f t="shared" si="4"/>
        <v>2.9998999999999998</v>
      </c>
      <c r="AE51" s="80">
        <f t="shared" si="5"/>
        <v>2</v>
      </c>
      <c r="AF51" s="80">
        <f t="shared" si="6"/>
        <v>1</v>
      </c>
      <c r="AH51" s="40" t="str">
        <f t="shared" si="19"/>
        <v>n/a</v>
      </c>
    </row>
    <row r="52" spans="1:34" x14ac:dyDescent="0.35">
      <c r="A52">
        <v>7</v>
      </c>
      <c r="B52" t="s">
        <v>193</v>
      </c>
      <c r="C52" s="78" t="str">
        <f>'Relevanz-Gewichtung-Parameter'!I108</f>
        <v/>
      </c>
      <c r="D52" s="19" t="s">
        <v>172</v>
      </c>
      <c r="E52" s="77">
        <v>5</v>
      </c>
      <c r="F52" s="77">
        <v>4</v>
      </c>
      <c r="G52" s="77">
        <v>3</v>
      </c>
      <c r="H52" s="77">
        <v>2</v>
      </c>
      <c r="I52" s="77">
        <v>1</v>
      </c>
      <c r="J52" s="37" t="str">
        <f t="shared" ref="J52:J53" si="22">+IF(D52="Größer",W52,IF(D52="Kleiner",AH52,"n.a."))</f>
        <v>n/a</v>
      </c>
      <c r="N52" s="80">
        <f t="shared" ref="N52:N53" si="23">+E52</f>
        <v>5</v>
      </c>
      <c r="O52" s="80">
        <f t="shared" ref="O52:O53" si="24">+N52-0.0001</f>
        <v>4.9999000000000002</v>
      </c>
      <c r="P52" s="80">
        <f t="shared" ref="P52:P53" si="25">+F52</f>
        <v>4</v>
      </c>
      <c r="Q52" s="80">
        <f t="shared" ref="Q52:Q53" si="26">+P52-0.0001</f>
        <v>3.9998999999999998</v>
      </c>
      <c r="R52" s="80">
        <f t="shared" ref="R52:R53" si="27">+G52</f>
        <v>3</v>
      </c>
      <c r="S52" s="80">
        <f t="shared" ref="S52:S53" si="28">+R52-0.0001</f>
        <v>2.9998999999999998</v>
      </c>
      <c r="T52" s="80">
        <f t="shared" ref="T52:T53" si="29">+H52</f>
        <v>2</v>
      </c>
      <c r="U52" s="80">
        <f t="shared" ref="U52:U53" si="30">I52</f>
        <v>1</v>
      </c>
      <c r="V52" s="14"/>
      <c r="W52" s="40" t="str">
        <f t="shared" ref="W52:W53" si="31">IF(ISNUMBER($C52),IF($C52&gt;=N52,N$6,IF(AND($C52&gt;=P52,$C52&lt;=O52),P$6,IF(AND($C52&gt;=R52,$C52&lt;Q52),R$6,IF(AND($C52&gt;=T52,$C52&lt;S52),T$6,U$6)))),"n/a")</f>
        <v>n/a</v>
      </c>
      <c r="X52" s="14"/>
      <c r="Y52" s="80">
        <f t="shared" ref="Y52:Y53" si="32">N52</f>
        <v>5</v>
      </c>
      <c r="Z52" s="80">
        <f t="shared" ref="Z52:Z53" si="33">O52</f>
        <v>4.9999000000000002</v>
      </c>
      <c r="AA52" s="80">
        <f t="shared" ref="AA52:AA53" si="34">P52</f>
        <v>4</v>
      </c>
      <c r="AB52" s="80">
        <f t="shared" ref="AB52:AB53" si="35">Q52</f>
        <v>3.9998999999999998</v>
      </c>
      <c r="AC52" s="80">
        <f t="shared" ref="AC52:AC53" si="36">R52</f>
        <v>3</v>
      </c>
      <c r="AD52" s="80">
        <f t="shared" ref="AD52:AD53" si="37">S52</f>
        <v>2.9998999999999998</v>
      </c>
      <c r="AE52" s="80">
        <f t="shared" ref="AE52:AE53" si="38">T52</f>
        <v>2</v>
      </c>
      <c r="AF52" s="80">
        <f t="shared" ref="AF52:AF53" si="39">U52</f>
        <v>1</v>
      </c>
      <c r="AH52" s="40" t="str">
        <f t="shared" ref="AH52:AH53" si="40">IF(ISNUMBER($C52),IF($C52&lt;=Y52,Y$6,IF(AND($C52&lt;=AA52,$C52&gt;Z52),AA$6,IF(AND($C52&lt;=AC52,$C52&gt;AB52),AC$6,IF(AND($C52&lt;=AF52,$C52&gt;AD52),AE$6,AF$6)))),"n/a")</f>
        <v>n/a</v>
      </c>
    </row>
    <row r="53" spans="1:34" x14ac:dyDescent="0.35">
      <c r="A53">
        <v>8</v>
      </c>
      <c r="B53" t="s">
        <v>215</v>
      </c>
      <c r="C53" s="78" t="str">
        <f>'Relevanz-Gewichtung-Parameter'!I110</f>
        <v/>
      </c>
      <c r="D53" s="19" t="s">
        <v>172</v>
      </c>
      <c r="E53" s="77">
        <v>5</v>
      </c>
      <c r="F53" s="77">
        <v>4</v>
      </c>
      <c r="G53" s="77">
        <v>3</v>
      </c>
      <c r="H53" s="77">
        <v>2</v>
      </c>
      <c r="I53" s="77">
        <v>1</v>
      </c>
      <c r="J53" s="37" t="str">
        <f t="shared" si="22"/>
        <v>n/a</v>
      </c>
      <c r="N53" s="80">
        <f t="shared" si="23"/>
        <v>5</v>
      </c>
      <c r="O53" s="80">
        <f t="shared" si="24"/>
        <v>4.9999000000000002</v>
      </c>
      <c r="P53" s="80">
        <f t="shared" si="25"/>
        <v>4</v>
      </c>
      <c r="Q53" s="80">
        <f t="shared" si="26"/>
        <v>3.9998999999999998</v>
      </c>
      <c r="R53" s="80">
        <f t="shared" si="27"/>
        <v>3</v>
      </c>
      <c r="S53" s="80">
        <f t="shared" si="28"/>
        <v>2.9998999999999998</v>
      </c>
      <c r="T53" s="80">
        <f t="shared" si="29"/>
        <v>2</v>
      </c>
      <c r="U53" s="80">
        <f t="shared" si="30"/>
        <v>1</v>
      </c>
      <c r="V53" s="14"/>
      <c r="W53" s="40" t="str">
        <f t="shared" si="31"/>
        <v>n/a</v>
      </c>
      <c r="X53" s="14"/>
      <c r="Y53" s="80">
        <f t="shared" si="32"/>
        <v>5</v>
      </c>
      <c r="Z53" s="80">
        <f t="shared" si="33"/>
        <v>4.9999000000000002</v>
      </c>
      <c r="AA53" s="80">
        <f t="shared" si="34"/>
        <v>4</v>
      </c>
      <c r="AB53" s="80">
        <f t="shared" si="35"/>
        <v>3.9998999999999998</v>
      </c>
      <c r="AC53" s="80">
        <f t="shared" si="36"/>
        <v>3</v>
      </c>
      <c r="AD53" s="80">
        <f t="shared" si="37"/>
        <v>2.9998999999999998</v>
      </c>
      <c r="AE53" s="80">
        <f t="shared" si="38"/>
        <v>2</v>
      </c>
      <c r="AF53" s="80">
        <f t="shared" si="39"/>
        <v>1</v>
      </c>
      <c r="AH53" s="40" t="str">
        <f t="shared" si="40"/>
        <v>n/a</v>
      </c>
    </row>
    <row r="54" spans="1:34" x14ac:dyDescent="0.35">
      <c r="A54">
        <v>9</v>
      </c>
      <c r="B54" t="s">
        <v>191</v>
      </c>
      <c r="C54" s="78" t="str">
        <f>'Relevanz-Gewichtung-Parameter'!I105</f>
        <v/>
      </c>
      <c r="D54" s="73" t="s">
        <v>173</v>
      </c>
      <c r="E54" s="81">
        <v>0.15</v>
      </c>
      <c r="F54" s="81">
        <v>0.3</v>
      </c>
      <c r="G54" s="81">
        <v>0.5</v>
      </c>
      <c r="H54" s="81">
        <v>0.7</v>
      </c>
      <c r="I54" s="81">
        <v>0.71</v>
      </c>
      <c r="J54" s="37" t="str">
        <f t="shared" si="8"/>
        <v>n/a</v>
      </c>
      <c r="N54" s="80">
        <f t="shared" si="9"/>
        <v>0.15</v>
      </c>
      <c r="O54" s="80">
        <f t="shared" si="10"/>
        <v>0.14990000000000001</v>
      </c>
      <c r="P54" s="80">
        <f t="shared" si="11"/>
        <v>0.3</v>
      </c>
      <c r="Q54" s="80">
        <f t="shared" si="12"/>
        <v>0.2999</v>
      </c>
      <c r="R54" s="80">
        <f t="shared" si="13"/>
        <v>0.5</v>
      </c>
      <c r="S54" s="80">
        <f t="shared" si="14"/>
        <v>0.49990000000000001</v>
      </c>
      <c r="T54" s="80">
        <f t="shared" si="15"/>
        <v>0.7</v>
      </c>
      <c r="U54" s="80">
        <f t="shared" si="16"/>
        <v>0.71</v>
      </c>
      <c r="V54" s="14"/>
      <c r="W54" s="40" t="str">
        <f t="shared" si="17"/>
        <v>n/a</v>
      </c>
      <c r="X54" s="14"/>
      <c r="Y54" s="80">
        <f t="shared" si="18"/>
        <v>0.15</v>
      </c>
      <c r="Z54" s="80">
        <f t="shared" si="0"/>
        <v>0.14990000000000001</v>
      </c>
      <c r="AA54" s="80">
        <f t="shared" si="1"/>
        <v>0.3</v>
      </c>
      <c r="AB54" s="80">
        <f t="shared" si="2"/>
        <v>0.2999</v>
      </c>
      <c r="AC54" s="80">
        <f t="shared" si="3"/>
        <v>0.5</v>
      </c>
      <c r="AD54" s="80">
        <f t="shared" si="4"/>
        <v>0.49990000000000001</v>
      </c>
      <c r="AE54" s="80">
        <f t="shared" si="5"/>
        <v>0.7</v>
      </c>
      <c r="AF54" s="80">
        <f t="shared" si="6"/>
        <v>0.71</v>
      </c>
      <c r="AH54" s="40" t="str">
        <f t="shared" si="19"/>
        <v>n/a</v>
      </c>
    </row>
    <row r="55" spans="1:34" x14ac:dyDescent="0.35">
      <c r="A55">
        <v>10</v>
      </c>
      <c r="B55" t="s">
        <v>192</v>
      </c>
      <c r="C55" s="78" t="str">
        <f>'Relevanz-Gewichtung-Parameter'!I106</f>
        <v/>
      </c>
      <c r="D55" s="73" t="s">
        <v>173</v>
      </c>
      <c r="E55" s="81">
        <v>0.15</v>
      </c>
      <c r="F55" s="81">
        <v>0.3</v>
      </c>
      <c r="G55" s="81">
        <v>0.45</v>
      </c>
      <c r="H55" s="81">
        <v>0.6</v>
      </c>
      <c r="I55" s="81">
        <v>0.61</v>
      </c>
      <c r="J55" s="37" t="str">
        <f t="shared" si="8"/>
        <v>n/a</v>
      </c>
      <c r="N55" s="80">
        <f t="shared" si="9"/>
        <v>0.15</v>
      </c>
      <c r="O55" s="80">
        <f t="shared" si="10"/>
        <v>0.14990000000000001</v>
      </c>
      <c r="P55" s="80">
        <f t="shared" si="11"/>
        <v>0.3</v>
      </c>
      <c r="Q55" s="80">
        <f t="shared" si="12"/>
        <v>0.2999</v>
      </c>
      <c r="R55" s="80">
        <f t="shared" si="13"/>
        <v>0.45</v>
      </c>
      <c r="S55" s="80">
        <f t="shared" si="14"/>
        <v>0.44990000000000002</v>
      </c>
      <c r="T55" s="80">
        <f t="shared" si="15"/>
        <v>0.6</v>
      </c>
      <c r="U55" s="80">
        <f t="shared" si="16"/>
        <v>0.61</v>
      </c>
      <c r="V55" s="14"/>
      <c r="W55" s="40" t="str">
        <f t="shared" si="17"/>
        <v>n/a</v>
      </c>
      <c r="X55" s="14"/>
      <c r="Y55" s="80">
        <f t="shared" si="18"/>
        <v>0.15</v>
      </c>
      <c r="Z55" s="80">
        <f t="shared" si="0"/>
        <v>0.14990000000000001</v>
      </c>
      <c r="AA55" s="80">
        <f t="shared" si="1"/>
        <v>0.3</v>
      </c>
      <c r="AB55" s="80">
        <f t="shared" si="2"/>
        <v>0.2999</v>
      </c>
      <c r="AC55" s="80">
        <f t="shared" si="3"/>
        <v>0.45</v>
      </c>
      <c r="AD55" s="80">
        <f t="shared" si="4"/>
        <v>0.44990000000000002</v>
      </c>
      <c r="AE55" s="80">
        <f t="shared" si="5"/>
        <v>0.6</v>
      </c>
      <c r="AF55" s="80">
        <f t="shared" si="6"/>
        <v>0.61</v>
      </c>
      <c r="AH55" s="40" t="str">
        <f t="shared" si="19"/>
        <v>n/a</v>
      </c>
    </row>
    <row r="56" spans="1:34" x14ac:dyDescent="0.35">
      <c r="N56" s="80">
        <f t="shared" si="9"/>
        <v>0</v>
      </c>
      <c r="O56" s="80">
        <f t="shared" si="10"/>
        <v>-1E-4</v>
      </c>
      <c r="P56" s="80">
        <f t="shared" si="11"/>
        <v>0</v>
      </c>
      <c r="Q56" s="80">
        <f t="shared" si="12"/>
        <v>-1E-4</v>
      </c>
      <c r="R56" s="80">
        <f t="shared" si="13"/>
        <v>0</v>
      </c>
      <c r="S56" s="80">
        <f t="shared" si="14"/>
        <v>-1E-4</v>
      </c>
      <c r="T56" s="80">
        <f t="shared" si="15"/>
        <v>0</v>
      </c>
      <c r="U56" s="80">
        <f t="shared" si="16"/>
        <v>0</v>
      </c>
      <c r="V56" s="14"/>
      <c r="W56" s="40" t="str">
        <f t="shared" si="17"/>
        <v>n/a</v>
      </c>
      <c r="X56" s="14"/>
      <c r="Y56" s="80">
        <f t="shared" si="18"/>
        <v>0</v>
      </c>
      <c r="Z56" s="80">
        <f t="shared" si="0"/>
        <v>-1E-4</v>
      </c>
      <c r="AA56" s="80">
        <f t="shared" si="1"/>
        <v>0</v>
      </c>
      <c r="AB56" s="80">
        <f t="shared" si="2"/>
        <v>-1E-4</v>
      </c>
      <c r="AC56" s="80">
        <f t="shared" si="3"/>
        <v>0</v>
      </c>
      <c r="AD56" s="80">
        <f t="shared" si="4"/>
        <v>-1E-4</v>
      </c>
      <c r="AE56" s="80">
        <f t="shared" si="5"/>
        <v>0</v>
      </c>
      <c r="AF56" s="80">
        <f t="shared" si="6"/>
        <v>0</v>
      </c>
      <c r="AH56" s="40" t="str">
        <f t="shared" si="19"/>
        <v>n/a</v>
      </c>
    </row>
  </sheetData>
  <phoneticPr fontId="7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D5599-F5DF-4EFA-AD01-0D75B30AA22E}">
  <sheetPr>
    <tabColor theme="0" tint="-0.249977111117893"/>
  </sheetPr>
  <dimension ref="B3:L12"/>
  <sheetViews>
    <sheetView showGridLines="0" zoomScale="130" zoomScaleNormal="130" workbookViewId="0">
      <selection activeCell="A91" sqref="A91:XFD95"/>
    </sheetView>
  </sheetViews>
  <sheetFormatPr defaultColWidth="8.7265625" defaultRowHeight="14.5" x14ac:dyDescent="0.35"/>
  <cols>
    <col min="2" max="2" width="22.08984375" bestFit="1" customWidth="1"/>
    <col min="6" max="6" width="9.81640625" bestFit="1" customWidth="1"/>
    <col min="7" max="7" width="9.81640625" customWidth="1"/>
    <col min="8" max="8" width="18.90625" bestFit="1" customWidth="1"/>
    <col min="9" max="9" width="12.1796875" bestFit="1" customWidth="1"/>
    <col min="10" max="10" width="15.453125" bestFit="1" customWidth="1"/>
    <col min="11" max="11" width="10.36328125" bestFit="1" customWidth="1"/>
  </cols>
  <sheetData>
    <row r="3" spans="2:12" x14ac:dyDescent="0.35">
      <c r="B3" s="7" t="s">
        <v>168</v>
      </c>
      <c r="C3" s="7" t="s">
        <v>128</v>
      </c>
      <c r="E3" s="7" t="s">
        <v>143</v>
      </c>
      <c r="F3" s="7" t="s">
        <v>209</v>
      </c>
      <c r="G3" s="7" t="s">
        <v>216</v>
      </c>
      <c r="H3" s="7" t="s">
        <v>145</v>
      </c>
      <c r="I3" s="7" t="s">
        <v>147</v>
      </c>
      <c r="J3" s="7" t="s">
        <v>66</v>
      </c>
      <c r="K3" s="7" t="s">
        <v>148</v>
      </c>
      <c r="L3" s="7" t="s">
        <v>68</v>
      </c>
    </row>
    <row r="4" spans="2:12" x14ac:dyDescent="0.35">
      <c r="B4" t="s">
        <v>163</v>
      </c>
      <c r="C4" t="s">
        <v>133</v>
      </c>
      <c r="E4" t="s">
        <v>129</v>
      </c>
      <c r="F4" t="s">
        <v>210</v>
      </c>
      <c r="G4" t="s">
        <v>217</v>
      </c>
      <c r="H4" s="14" t="s">
        <v>204</v>
      </c>
      <c r="I4" s="14" t="s">
        <v>199</v>
      </c>
      <c r="J4" s="14" t="s">
        <v>199</v>
      </c>
      <c r="K4" s="14" t="s">
        <v>199</v>
      </c>
      <c r="L4" s="14" t="s">
        <v>194</v>
      </c>
    </row>
    <row r="5" spans="2:12" x14ac:dyDescent="0.35">
      <c r="B5" t="s">
        <v>161</v>
      </c>
      <c r="C5" t="s">
        <v>134</v>
      </c>
      <c r="E5" t="s">
        <v>132</v>
      </c>
      <c r="F5" t="s">
        <v>211</v>
      </c>
      <c r="G5" t="s">
        <v>218</v>
      </c>
      <c r="H5" s="14" t="s">
        <v>205</v>
      </c>
      <c r="I5" s="14" t="s">
        <v>200</v>
      </c>
      <c r="J5" s="14" t="s">
        <v>200</v>
      </c>
      <c r="K5" s="14" t="s">
        <v>200</v>
      </c>
      <c r="L5" s="14" t="s">
        <v>195</v>
      </c>
    </row>
    <row r="6" spans="2:12" x14ac:dyDescent="0.35">
      <c r="B6" t="s">
        <v>165</v>
      </c>
      <c r="C6" t="s">
        <v>135</v>
      </c>
      <c r="F6" t="s">
        <v>212</v>
      </c>
      <c r="G6" t="s">
        <v>135</v>
      </c>
      <c r="H6" s="14" t="s">
        <v>206</v>
      </c>
      <c r="I6" s="14" t="s">
        <v>201</v>
      </c>
      <c r="J6" s="14" t="s">
        <v>201</v>
      </c>
      <c r="K6" s="14" t="s">
        <v>201</v>
      </c>
      <c r="L6" s="14" t="s">
        <v>196</v>
      </c>
    </row>
    <row r="7" spans="2:12" x14ac:dyDescent="0.35">
      <c r="B7" t="s">
        <v>167</v>
      </c>
      <c r="C7" t="s">
        <v>136</v>
      </c>
      <c r="F7" t="s">
        <v>214</v>
      </c>
      <c r="G7" t="s">
        <v>219</v>
      </c>
      <c r="H7" s="14" t="s">
        <v>207</v>
      </c>
      <c r="I7" s="14" t="s">
        <v>202</v>
      </c>
      <c r="J7" s="14" t="s">
        <v>202</v>
      </c>
      <c r="K7" s="14" t="s">
        <v>202</v>
      </c>
      <c r="L7" s="14" t="s">
        <v>197</v>
      </c>
    </row>
    <row r="8" spans="2:12" x14ac:dyDescent="0.35">
      <c r="B8" t="s">
        <v>160</v>
      </c>
      <c r="C8" t="s">
        <v>137</v>
      </c>
      <c r="F8" t="s">
        <v>213</v>
      </c>
      <c r="G8" t="s">
        <v>220</v>
      </c>
      <c r="H8" s="14" t="s">
        <v>208</v>
      </c>
      <c r="I8" s="14" t="s">
        <v>203</v>
      </c>
      <c r="J8" s="14" t="s">
        <v>203</v>
      </c>
      <c r="K8" s="14" t="s">
        <v>203</v>
      </c>
      <c r="L8" s="14" t="s">
        <v>198</v>
      </c>
    </row>
    <row r="9" spans="2:12" x14ac:dyDescent="0.35">
      <c r="B9" t="s">
        <v>166</v>
      </c>
    </row>
    <row r="10" spans="2:12" x14ac:dyDescent="0.35">
      <c r="B10" t="s">
        <v>159</v>
      </c>
    </row>
    <row r="11" spans="2:12" x14ac:dyDescent="0.35">
      <c r="B11" t="s">
        <v>164</v>
      </c>
    </row>
    <row r="12" spans="2:12" x14ac:dyDescent="0.35">
      <c r="B12" t="s">
        <v>162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5BD3E-6898-4D51-A45A-F967E4428D24}">
  <sheetPr>
    <tabColor rgb="FF002060"/>
  </sheetPr>
  <dimension ref="B5:S29"/>
  <sheetViews>
    <sheetView showGridLines="0" tabSelected="1" zoomScaleNormal="100" zoomScaleSheetLayoutView="160" workbookViewId="0"/>
  </sheetViews>
  <sheetFormatPr defaultColWidth="8.7265625" defaultRowHeight="14.5" x14ac:dyDescent="0.35"/>
  <cols>
    <col min="1" max="1" width="2.7265625" customWidth="1"/>
    <col min="3" max="3" width="1.453125" customWidth="1"/>
    <col min="19" max="19" width="6.36328125" customWidth="1"/>
    <col min="20" max="20" width="2.7265625" customWidth="1"/>
  </cols>
  <sheetData>
    <row r="5" spans="2:2" x14ac:dyDescent="0.35">
      <c r="B5" s="7" t="s">
        <v>235</v>
      </c>
    </row>
    <row r="7" spans="2:2" x14ac:dyDescent="0.35">
      <c r="B7" t="s">
        <v>243</v>
      </c>
    </row>
    <row r="8" spans="2:2" x14ac:dyDescent="0.35">
      <c r="B8" t="s">
        <v>261</v>
      </c>
    </row>
    <row r="12" spans="2:2" x14ac:dyDescent="0.35">
      <c r="B12" s="7" t="s">
        <v>244</v>
      </c>
    </row>
    <row r="14" spans="2:2" x14ac:dyDescent="0.35">
      <c r="B14" t="s">
        <v>245</v>
      </c>
    </row>
    <row r="15" spans="2:2" ht="5.5" customHeight="1" x14ac:dyDescent="0.35"/>
    <row r="16" spans="2:2" x14ac:dyDescent="0.35">
      <c r="B16" s="99" t="s">
        <v>246</v>
      </c>
    </row>
    <row r="17" spans="2:19" x14ac:dyDescent="0.35">
      <c r="B17" t="s">
        <v>264</v>
      </c>
    </row>
    <row r="18" spans="2:19" ht="5.5" customHeight="1" x14ac:dyDescent="0.35"/>
    <row r="19" spans="2:19" ht="27.5" customHeight="1" x14ac:dyDescent="0.35">
      <c r="B19" s="176" t="s">
        <v>265</v>
      </c>
      <c r="C19" s="176"/>
      <c r="D19" s="176"/>
      <c r="E19" s="176"/>
      <c r="F19" s="176"/>
      <c r="G19" s="176"/>
      <c r="H19" s="176"/>
      <c r="I19" s="176"/>
      <c r="J19" s="176"/>
      <c r="K19" s="176"/>
      <c r="L19" s="176"/>
      <c r="M19" s="176"/>
      <c r="N19" s="176"/>
      <c r="O19" s="176"/>
      <c r="P19" s="176"/>
      <c r="Q19" s="176"/>
      <c r="R19" s="176"/>
      <c r="S19" s="176"/>
    </row>
    <row r="20" spans="2:19" x14ac:dyDescent="0.35">
      <c r="B20" t="s">
        <v>266</v>
      </c>
    </row>
    <row r="21" spans="2:19" ht="5.5" customHeight="1" x14ac:dyDescent="0.35"/>
    <row r="22" spans="2:19" x14ac:dyDescent="0.35">
      <c r="B22" t="s">
        <v>236</v>
      </c>
    </row>
    <row r="25" spans="2:19" x14ac:dyDescent="0.35">
      <c r="B25" s="7" t="s">
        <v>247</v>
      </c>
    </row>
    <row r="27" spans="2:19" x14ac:dyDescent="0.35">
      <c r="B27" s="86"/>
      <c r="D27" t="s">
        <v>248</v>
      </c>
    </row>
    <row r="28" spans="2:19" ht="6" customHeight="1" x14ac:dyDescent="0.35"/>
    <row r="29" spans="2:19" x14ac:dyDescent="0.35">
      <c r="B29" s="96"/>
      <c r="D29" t="s">
        <v>249</v>
      </c>
    </row>
  </sheetData>
  <sheetProtection algorithmName="SHA-512" hashValue="cDJXsClTmrlrpLmfIB2ya5GbtW1HF7VaJyvTnBirWew/2hC9AFvhFVsDeYJchhZ0xR8VQRBrg3CfiLAvBcg/1A==" saltValue="r9DJi3vGU8p/jWhCYFUb3A==" spinCount="100000" sheet="1" objects="1" scenarios="1"/>
  <mergeCells count="1">
    <mergeCell ref="B19:S19"/>
  </mergeCells>
  <pageMargins left="0.7" right="0.7" top="0.75" bottom="0.75" header="0.3" footer="0.3"/>
  <pageSetup paperSize="9" scale="4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B3692-89B7-4A6F-A013-850D8A6F0AEC}">
  <sheetPr codeName="Sheet2">
    <tabColor rgb="FFC00000"/>
  </sheetPr>
  <dimension ref="B1:P26"/>
  <sheetViews>
    <sheetView showGridLines="0" zoomScaleNormal="100" zoomScaleSheetLayoutView="205" workbookViewId="0"/>
  </sheetViews>
  <sheetFormatPr defaultColWidth="10.90625" defaultRowHeight="14.5" x14ac:dyDescent="0.35"/>
  <cols>
    <col min="1" max="1" width="2.6328125" customWidth="1"/>
    <col min="2" max="2" width="17.1796875" customWidth="1"/>
    <col min="3" max="3" width="10.26953125" customWidth="1"/>
    <col min="4" max="4" width="14.6328125" customWidth="1"/>
    <col min="5" max="5" width="1.7265625" customWidth="1"/>
    <col min="6" max="6" width="14.6328125" customWidth="1"/>
    <col min="7" max="7" width="1.7265625" customWidth="1"/>
    <col min="8" max="8" width="14.6328125" customWidth="1"/>
    <col min="9" max="9" width="1.7265625" customWidth="1"/>
    <col min="10" max="10" width="14.6328125" customWidth="1"/>
    <col min="11" max="11" width="1.7265625" customWidth="1"/>
    <col min="12" max="12" width="14.6328125" customWidth="1"/>
    <col min="13" max="13" width="2.7265625" customWidth="1"/>
    <col min="14" max="14" width="8.26953125" hidden="1" customWidth="1"/>
    <col min="15" max="15" width="17.08984375" hidden="1" customWidth="1"/>
    <col min="16" max="16" width="11.54296875" hidden="1" customWidth="1"/>
  </cols>
  <sheetData>
    <row r="1" spans="2:16" ht="13.5" customHeight="1" x14ac:dyDescent="0.35"/>
    <row r="2" spans="2:16" ht="13.5" customHeight="1" x14ac:dyDescent="0.35"/>
    <row r="3" spans="2:16" ht="13.5" customHeight="1" x14ac:dyDescent="0.35"/>
    <row r="4" spans="2:16" x14ac:dyDescent="0.35">
      <c r="B4" s="7" t="s">
        <v>238</v>
      </c>
    </row>
    <row r="6" spans="2:16" x14ac:dyDescent="0.35">
      <c r="B6" s="6" t="s">
        <v>128</v>
      </c>
      <c r="C6" s="6"/>
      <c r="D6" s="43" t="s">
        <v>239</v>
      </c>
      <c r="E6" s="43"/>
      <c r="F6" s="43" t="s">
        <v>240</v>
      </c>
      <c r="G6" s="43"/>
      <c r="H6" s="43" t="s">
        <v>135</v>
      </c>
      <c r="I6" s="43"/>
      <c r="J6" s="43" t="s">
        <v>242</v>
      </c>
      <c r="K6" s="43"/>
      <c r="L6" s="43" t="s">
        <v>241</v>
      </c>
      <c r="N6" s="44" t="s">
        <v>186</v>
      </c>
      <c r="O6" s="45" t="s">
        <v>189</v>
      </c>
      <c r="P6" s="46" t="s">
        <v>187</v>
      </c>
    </row>
    <row r="7" spans="2:16" ht="4" customHeight="1" x14ac:dyDescent="0.35">
      <c r="N7" s="47"/>
      <c r="O7" s="48"/>
      <c r="P7" s="49"/>
    </row>
    <row r="8" spans="2:16" x14ac:dyDescent="0.35">
      <c r="B8" s="9" t="s">
        <v>14</v>
      </c>
      <c r="D8" s="161" t="str">
        <f>IFERROR(+IF(N8&gt;=4.5,"X",""),"")</f>
        <v/>
      </c>
      <c r="E8" s="104"/>
      <c r="F8" s="162" t="str">
        <f>IFERROR(+IF(AND((N8&gt;=3.5),(N8&lt;4.5)),"X",""),"")</f>
        <v/>
      </c>
      <c r="G8" s="104"/>
      <c r="H8" s="163" t="str">
        <f>IFERROR(+IF(AND((N8&gt;=2.5),(N8&lt;3.5)),"X",""),"")</f>
        <v/>
      </c>
      <c r="I8" s="104"/>
      <c r="J8" s="164" t="str">
        <f>IFERROR(+IF(AND((N8&gt;=1.5),(N8&lt;2.5)),"X",""),"")</f>
        <v/>
      </c>
      <c r="K8" s="104"/>
      <c r="L8" s="165" t="str">
        <f>IFERROR(+IF(N8=0,"",IF(N8&lt;1.5,"X","")),"")</f>
        <v/>
      </c>
      <c r="N8" s="50" t="e">
        <f>+Gewichtung!H24</f>
        <v>#DIV/0!</v>
      </c>
      <c r="O8" s="48" t="e">
        <f>+Gewichtung!J24</f>
        <v>#REF!</v>
      </c>
      <c r="P8" s="49" t="e">
        <f>+N8*O8</f>
        <v>#DIV/0!</v>
      </c>
    </row>
    <row r="9" spans="2:16" ht="4" customHeight="1" x14ac:dyDescent="0.35">
      <c r="B9" s="9"/>
      <c r="D9" s="104"/>
      <c r="E9" s="104"/>
      <c r="F9" s="104"/>
      <c r="G9" s="104"/>
      <c r="H9" s="104"/>
      <c r="I9" s="104"/>
      <c r="J9" s="104"/>
      <c r="K9" s="104"/>
      <c r="L9" s="104"/>
      <c r="N9" s="51"/>
      <c r="O9" s="48"/>
      <c r="P9" s="49"/>
    </row>
    <row r="10" spans="2:16" x14ac:dyDescent="0.35">
      <c r="B10" s="9" t="s">
        <v>8</v>
      </c>
      <c r="D10" s="161" t="str">
        <f>IFERROR(+IF(N10&gt;=4.5,"X",""),"")</f>
        <v/>
      </c>
      <c r="E10" s="104"/>
      <c r="F10" s="162" t="str">
        <f>IFERROR(+IF(AND((N10&gt;=3.5),(N10&lt;4.5)),"X",""),"")</f>
        <v/>
      </c>
      <c r="G10" s="104"/>
      <c r="H10" s="163" t="str">
        <f>IFERROR(+IF(AND((N10&gt;=2.5),(N10&lt;3.5)),"X",""),"")</f>
        <v/>
      </c>
      <c r="I10" s="104"/>
      <c r="J10" s="164" t="str">
        <f>IFERROR(+IF(AND((N10&gt;=1.5),(N10&lt;2.5)),"X",""),"")</f>
        <v/>
      </c>
      <c r="K10" s="104"/>
      <c r="L10" s="165" t="str">
        <f>IFERROR(+IF(N10=0,"",IF(N10&lt;1.5,"X","")),"")</f>
        <v/>
      </c>
      <c r="N10" s="50" t="e">
        <f>+Gewichtung!H36</f>
        <v>#DIV/0!</v>
      </c>
      <c r="O10" s="48">
        <f>+Gewichtung!J36</f>
        <v>4</v>
      </c>
      <c r="P10" s="49" t="e">
        <f>+N10*O10</f>
        <v>#DIV/0!</v>
      </c>
    </row>
    <row r="11" spans="2:16" ht="4" customHeight="1" x14ac:dyDescent="0.35">
      <c r="B11" s="9"/>
      <c r="D11" s="104"/>
      <c r="E11" s="104"/>
      <c r="F11" s="104"/>
      <c r="G11" s="104"/>
      <c r="H11" s="104"/>
      <c r="I11" s="104"/>
      <c r="J11" s="104"/>
      <c r="K11" s="104"/>
      <c r="L11" s="104"/>
      <c r="N11" s="47"/>
      <c r="O11" s="48"/>
      <c r="P11" s="49"/>
    </row>
    <row r="12" spans="2:16" x14ac:dyDescent="0.35">
      <c r="B12" s="9" t="s">
        <v>15</v>
      </c>
      <c r="D12" s="161" t="str">
        <f>IFERROR(+IF(N12&gt;=4.5,"X",""),"")</f>
        <v/>
      </c>
      <c r="E12" s="104"/>
      <c r="F12" s="162" t="str">
        <f>IFERROR(+IF(AND((N12&gt;=3.5),(N12&lt;4.5)),"X",""),"")</f>
        <v/>
      </c>
      <c r="G12" s="104"/>
      <c r="H12" s="163" t="str">
        <f>IFERROR(+IF(AND((N12&gt;=2.5),(N12&lt;3.5)),"X",""),"")</f>
        <v/>
      </c>
      <c r="I12" s="104"/>
      <c r="J12" s="164" t="str">
        <f>IFERROR(+IF(AND((N12&gt;=1.5),(N12&lt;2.5)),"X",""),"")</f>
        <v/>
      </c>
      <c r="K12" s="104"/>
      <c r="L12" s="165" t="str">
        <f>IFERROR(+IF(N12=0,"",IF(N12&lt;1.5,"X","")),"")</f>
        <v/>
      </c>
      <c r="N12" s="50" t="e">
        <f>+Gewichtung!H47</f>
        <v>#DIV/0!</v>
      </c>
      <c r="O12" s="48">
        <f>+Gewichtung!J47</f>
        <v>4</v>
      </c>
      <c r="P12" s="49" t="e">
        <f>+N12*O12</f>
        <v>#DIV/0!</v>
      </c>
    </row>
    <row r="13" spans="2:16" ht="4" customHeight="1" x14ac:dyDescent="0.35">
      <c r="B13" s="9"/>
      <c r="D13" s="104"/>
      <c r="E13" s="104"/>
      <c r="F13" s="104"/>
      <c r="G13" s="104"/>
      <c r="H13" s="104"/>
      <c r="I13" s="104"/>
      <c r="J13" s="104"/>
      <c r="K13" s="104"/>
      <c r="L13" s="104"/>
      <c r="N13" s="47"/>
      <c r="O13" s="48"/>
      <c r="P13" s="49"/>
    </row>
    <row r="14" spans="2:16" x14ac:dyDescent="0.35">
      <c r="B14" s="9" t="s">
        <v>16</v>
      </c>
      <c r="D14" s="161" t="str">
        <f>IFERROR(+IF(N14&gt;=4.5,"X",""),"")</f>
        <v/>
      </c>
      <c r="E14" s="104"/>
      <c r="F14" s="162" t="str">
        <f>IFERROR(+IF(AND((N14&gt;=3.5),(N14&lt;4.5)),"X",""),"")</f>
        <v/>
      </c>
      <c r="G14" s="104"/>
      <c r="H14" s="163" t="str">
        <f>IFERROR(+IF(AND((N14&gt;=2.5),(N14&lt;3.5)),"X",""),"")</f>
        <v/>
      </c>
      <c r="I14" s="104"/>
      <c r="J14" s="164" t="str">
        <f>IFERROR(+IF(AND((N14&gt;=1.5),(N14&lt;2.5)),"X",""),"")</f>
        <v/>
      </c>
      <c r="K14" s="104"/>
      <c r="L14" s="165" t="str">
        <f>IFERROR(+IF(N14=0,"",IF(N14&lt;1.5,"X","")),"")</f>
        <v/>
      </c>
      <c r="N14" s="50" t="e">
        <f>+Gewichtung!H67</f>
        <v>#DIV/0!</v>
      </c>
      <c r="O14" s="48">
        <f>+Gewichtung!J67</f>
        <v>7</v>
      </c>
      <c r="P14" s="49" t="e">
        <f>+N14*O14</f>
        <v>#DIV/0!</v>
      </c>
    </row>
    <row r="15" spans="2:16" ht="4" customHeight="1" x14ac:dyDescent="0.35">
      <c r="B15" s="9"/>
      <c r="D15" s="104"/>
      <c r="E15" s="104"/>
      <c r="F15" s="104"/>
      <c r="G15" s="104"/>
      <c r="H15" s="104"/>
      <c r="I15" s="104"/>
      <c r="J15" s="104"/>
      <c r="K15" s="104"/>
      <c r="L15" s="104"/>
      <c r="N15" s="47"/>
      <c r="O15" s="48"/>
      <c r="P15" s="49"/>
    </row>
    <row r="16" spans="2:16" x14ac:dyDescent="0.35">
      <c r="B16" s="9" t="s">
        <v>119</v>
      </c>
      <c r="D16" s="161" t="str">
        <f>+IFERROR(IF(N16&gt;=4.5,"X",""),"")</f>
        <v/>
      </c>
      <c r="E16" s="104"/>
      <c r="F16" s="162" t="str">
        <f>+IFERROR(IF(AND((N16&gt;=3.5),(N16&lt;4.5)),"X",""),"")</f>
        <v/>
      </c>
      <c r="G16" s="104"/>
      <c r="H16" s="163" t="str">
        <f>IFERROR(+IF(AND((N16&gt;=2.5),(N16&lt;3.5)),"X",""),"")</f>
        <v/>
      </c>
      <c r="I16" s="104"/>
      <c r="J16" s="164" t="str">
        <f>IFERROR(+IF(AND((N16&gt;=1.5),(N16&lt;2.5)),"X",""),"")</f>
        <v/>
      </c>
      <c r="K16" s="104"/>
      <c r="L16" s="165" t="str">
        <f>IFERROR(+IF(N16=0,"",IF(N16&lt;1.5,"X","")),"")</f>
        <v/>
      </c>
      <c r="N16" s="50" t="e">
        <f>+Gewichtung!H91</f>
        <v>#DIV/0!</v>
      </c>
      <c r="O16" s="48">
        <f>+Gewichtung!J91</f>
        <v>10</v>
      </c>
      <c r="P16" s="49" t="e">
        <f>+N16*O16</f>
        <v>#DIV/0!</v>
      </c>
    </row>
    <row r="17" spans="2:16" ht="4" customHeight="1" thickBot="1" x14ac:dyDescent="0.4">
      <c r="B17" s="8"/>
      <c r="C17" s="8"/>
      <c r="D17" s="166"/>
      <c r="E17" s="166"/>
      <c r="F17" s="166"/>
      <c r="G17" s="166"/>
      <c r="H17" s="166"/>
      <c r="I17" s="166"/>
      <c r="J17" s="166"/>
      <c r="K17" s="166"/>
      <c r="L17" s="166"/>
      <c r="N17" s="47"/>
      <c r="O17" s="48"/>
      <c r="P17" s="49"/>
    </row>
    <row r="18" spans="2:16" ht="4" customHeight="1" thickBot="1" x14ac:dyDescent="0.4">
      <c r="D18" s="104"/>
      <c r="E18" s="104"/>
      <c r="F18" s="104"/>
      <c r="G18" s="104"/>
      <c r="H18" s="104"/>
      <c r="I18" s="104"/>
      <c r="J18" s="104"/>
      <c r="K18" s="104"/>
      <c r="L18" s="104"/>
      <c r="N18" s="47"/>
      <c r="O18" s="48"/>
      <c r="P18" s="49"/>
    </row>
    <row r="19" spans="2:16" ht="15" thickBot="1" x14ac:dyDescent="0.4">
      <c r="B19" s="6" t="s">
        <v>17</v>
      </c>
      <c r="D19" s="167" t="str">
        <f>+IFERROR(IF(N19&gt;=4.5,"X",""),"")</f>
        <v/>
      </c>
      <c r="E19" s="104"/>
      <c r="F19" s="168" t="str">
        <f>IFERROR(+IF(AND((N19&gt;=3.5),(N19&lt;4.5)),"X",""),"")</f>
        <v/>
      </c>
      <c r="G19" s="104"/>
      <c r="H19" s="169" t="str">
        <f>IFERROR(+IF(AND((N19&gt;=2.5),(N19&lt;3.5)),"X",""),"")</f>
        <v/>
      </c>
      <c r="I19" s="104"/>
      <c r="J19" s="170" t="str">
        <f>IFERROR(+IF(AND((N19&gt;=1.5),(N19&lt;2.5)),"X",""),"")</f>
        <v/>
      </c>
      <c r="K19" s="104"/>
      <c r="L19" s="171" t="str">
        <f>IFERROR(+IF(N19=0,"",IF(N19&lt;1.5,"X","")),"")</f>
        <v/>
      </c>
      <c r="N19" s="62" t="e">
        <f>+P19/O19</f>
        <v>#DIV/0!</v>
      </c>
      <c r="O19" s="63" t="e">
        <f>+SUM(O8:O16)</f>
        <v>#REF!</v>
      </c>
      <c r="P19" s="64" t="e">
        <f>+SUM(P8:P16)</f>
        <v>#DIV/0!</v>
      </c>
    </row>
    <row r="20" spans="2:16" ht="15" thickBot="1" x14ac:dyDescent="0.4"/>
    <row r="21" spans="2:16" ht="15" thickBot="1" x14ac:dyDescent="0.4">
      <c r="B21" s="65" t="s">
        <v>233</v>
      </c>
      <c r="C21" s="66"/>
      <c r="D21" s="67"/>
      <c r="E21" s="67"/>
      <c r="F21" s="68"/>
      <c r="G21" s="67"/>
      <c r="H21" s="98" t="s">
        <v>267</v>
      </c>
      <c r="I21" s="98"/>
      <c r="J21" s="157"/>
      <c r="K21" s="67"/>
      <c r="L21" s="97"/>
    </row>
    <row r="24" spans="2:16" x14ac:dyDescent="0.35">
      <c r="B24" s="172" t="s">
        <v>237</v>
      </c>
      <c r="C24" s="173"/>
      <c r="D24" s="173"/>
      <c r="E24" s="173"/>
      <c r="F24" s="173"/>
      <c r="G24" s="173"/>
      <c r="H24" s="173"/>
      <c r="I24" s="173"/>
      <c r="J24" s="173"/>
      <c r="K24" s="173"/>
      <c r="L24" s="174"/>
      <c r="N24" s="41"/>
    </row>
    <row r="25" spans="2:16" ht="25" customHeight="1" x14ac:dyDescent="0.35">
      <c r="B25" s="177" t="s">
        <v>268</v>
      </c>
      <c r="C25" s="178"/>
      <c r="D25" s="178"/>
      <c r="E25" s="178"/>
      <c r="F25" s="178"/>
      <c r="G25" s="178"/>
      <c r="H25" s="178"/>
      <c r="I25" s="178"/>
      <c r="J25" s="178"/>
      <c r="K25" s="178"/>
      <c r="L25" s="179"/>
      <c r="N25" s="41"/>
    </row>
    <row r="26" spans="2:16" x14ac:dyDescent="0.35">
      <c r="N26" s="41"/>
    </row>
  </sheetData>
  <sheetProtection algorithmName="SHA-512" hashValue="2HntD1vP4XeckPnTzBiK6l+nsG0EkVN2fRI61uzRG5jgGbBW/cZP1c8txS6SKHCA/7QVTYwRMOVgxoy42wZqIg==" saltValue="aYznCyml1vqaWPS3mKbLVw==" spinCount="100000" sheet="1" objects="1" scenarios="1"/>
  <mergeCells count="1">
    <mergeCell ref="B25:L25"/>
  </mergeCells>
  <conditionalFormatting sqref="D8">
    <cfRule type="cellIs" dxfId="29" priority="71" operator="equal">
      <formula>"X"</formula>
    </cfRule>
  </conditionalFormatting>
  <conditionalFormatting sqref="D10">
    <cfRule type="cellIs" dxfId="28" priority="36" operator="equal">
      <formula>"X"</formula>
    </cfRule>
  </conditionalFormatting>
  <conditionalFormatting sqref="D12">
    <cfRule type="cellIs" dxfId="27" priority="31" operator="equal">
      <formula>"X"</formula>
    </cfRule>
  </conditionalFormatting>
  <conditionalFormatting sqref="D14">
    <cfRule type="cellIs" dxfId="26" priority="26" operator="equal">
      <formula>"X"</formula>
    </cfRule>
  </conditionalFormatting>
  <conditionalFormatting sqref="D16">
    <cfRule type="cellIs" dxfId="25" priority="21" operator="equal">
      <formula>"X"</formula>
    </cfRule>
  </conditionalFormatting>
  <conditionalFormatting sqref="D19">
    <cfRule type="cellIs" dxfId="24" priority="11" operator="equal">
      <formula>"X"</formula>
    </cfRule>
  </conditionalFormatting>
  <conditionalFormatting sqref="F8">
    <cfRule type="cellIs" dxfId="23" priority="68" operator="equal">
      <formula>"X"</formula>
    </cfRule>
  </conditionalFormatting>
  <conditionalFormatting sqref="F10">
    <cfRule type="cellIs" dxfId="22" priority="33" operator="equal">
      <formula>"X"</formula>
    </cfRule>
  </conditionalFormatting>
  <conditionalFormatting sqref="F12">
    <cfRule type="cellIs" dxfId="21" priority="28" operator="equal">
      <formula>"X"</formula>
    </cfRule>
  </conditionalFormatting>
  <conditionalFormatting sqref="F14">
    <cfRule type="cellIs" dxfId="20" priority="23" operator="equal">
      <formula>"X"</formula>
    </cfRule>
  </conditionalFormatting>
  <conditionalFormatting sqref="F16">
    <cfRule type="cellIs" dxfId="19" priority="18" operator="equal">
      <formula>"X"</formula>
    </cfRule>
  </conditionalFormatting>
  <conditionalFormatting sqref="F19">
    <cfRule type="cellIs" dxfId="18" priority="8" operator="equal">
      <formula>"X"</formula>
    </cfRule>
  </conditionalFormatting>
  <conditionalFormatting sqref="H8">
    <cfRule type="cellIs" dxfId="17" priority="70" operator="equal">
      <formula>"X"</formula>
    </cfRule>
  </conditionalFormatting>
  <conditionalFormatting sqref="H10">
    <cfRule type="cellIs" dxfId="16" priority="35" operator="equal">
      <formula>"X"</formula>
    </cfRule>
  </conditionalFormatting>
  <conditionalFormatting sqref="H12">
    <cfRule type="cellIs" dxfId="15" priority="30" operator="equal">
      <formula>"X"</formula>
    </cfRule>
  </conditionalFormatting>
  <conditionalFormatting sqref="H14">
    <cfRule type="cellIs" dxfId="14" priority="25" operator="equal">
      <formula>"X"</formula>
    </cfRule>
  </conditionalFormatting>
  <conditionalFormatting sqref="H16">
    <cfRule type="cellIs" dxfId="13" priority="20" operator="equal">
      <formula>"X"</formula>
    </cfRule>
  </conditionalFormatting>
  <conditionalFormatting sqref="H19">
    <cfRule type="cellIs" dxfId="12" priority="10" operator="equal">
      <formula>"X"</formula>
    </cfRule>
  </conditionalFormatting>
  <conditionalFormatting sqref="J8">
    <cfRule type="cellIs" dxfId="11" priority="67" operator="equal">
      <formula>"X"</formula>
    </cfRule>
  </conditionalFormatting>
  <conditionalFormatting sqref="J10">
    <cfRule type="cellIs" dxfId="10" priority="32" operator="equal">
      <formula>"X"</formula>
    </cfRule>
  </conditionalFormatting>
  <conditionalFormatting sqref="J12">
    <cfRule type="cellIs" dxfId="9" priority="27" operator="equal">
      <formula>"X"</formula>
    </cfRule>
  </conditionalFormatting>
  <conditionalFormatting sqref="J14">
    <cfRule type="cellIs" dxfId="8" priority="22" operator="equal">
      <formula>"X"</formula>
    </cfRule>
  </conditionalFormatting>
  <conditionalFormatting sqref="J16">
    <cfRule type="cellIs" dxfId="7" priority="17" operator="equal">
      <formula>"X"</formula>
    </cfRule>
  </conditionalFormatting>
  <conditionalFormatting sqref="J19">
    <cfRule type="cellIs" dxfId="6" priority="7" operator="equal">
      <formula>"X"</formula>
    </cfRule>
  </conditionalFormatting>
  <conditionalFormatting sqref="L8">
    <cfRule type="cellIs" dxfId="5" priority="69" operator="equal">
      <formula>"X"</formula>
    </cfRule>
  </conditionalFormatting>
  <conditionalFormatting sqref="L10">
    <cfRule type="cellIs" dxfId="4" priority="4" operator="equal">
      <formula>"X"</formula>
    </cfRule>
  </conditionalFormatting>
  <conditionalFormatting sqref="L12">
    <cfRule type="cellIs" dxfId="3" priority="3" operator="equal">
      <formula>"X"</formula>
    </cfRule>
  </conditionalFormatting>
  <conditionalFormatting sqref="L14">
    <cfRule type="cellIs" dxfId="2" priority="2" operator="equal">
      <formula>"X"</formula>
    </cfRule>
  </conditionalFormatting>
  <conditionalFormatting sqref="L16">
    <cfRule type="cellIs" dxfId="1" priority="1" operator="equal">
      <formula>"X"</formula>
    </cfRule>
  </conditionalFormatting>
  <conditionalFormatting sqref="L19">
    <cfRule type="cellIs" dxfId="0" priority="9" operator="equal">
      <formula>"X"</formula>
    </cfRule>
  </conditionalFormatting>
  <pageMargins left="0.7" right="0.7" top="0.78740157499999996" bottom="0.78740157499999996" header="0.3" footer="0.3"/>
  <pageSetup paperSize="9" scale="7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A21EC-7F1C-473E-BA82-42A835339C7D}">
  <sheetPr codeName="Sheet3">
    <tabColor theme="9"/>
  </sheetPr>
  <dimension ref="A1"/>
  <sheetViews>
    <sheetView showGridLines="0" workbookViewId="0"/>
  </sheetViews>
  <sheetFormatPr defaultColWidth="10.90625" defaultRowHeight="14.5" x14ac:dyDescent="0.35"/>
  <sheetData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B4D52-04F0-404A-932B-1E1DA60A5ECF}">
  <sheetPr codeName="Sheet5">
    <tabColor theme="9" tint="0.79998168889431442"/>
  </sheetPr>
  <dimension ref="B4:G42"/>
  <sheetViews>
    <sheetView showGridLines="0" zoomScaleNormal="100" zoomScaleSheetLayoutView="205" workbookViewId="0"/>
  </sheetViews>
  <sheetFormatPr defaultColWidth="10.90625" defaultRowHeight="14.5" x14ac:dyDescent="0.35"/>
  <cols>
    <col min="1" max="1" width="2.6328125" customWidth="1"/>
    <col min="2" max="2" width="21.08984375" customWidth="1"/>
    <col min="3" max="3" width="31.90625" customWidth="1"/>
    <col min="4" max="4" width="2.6328125" customWidth="1"/>
    <col min="5" max="5" width="57.90625" customWidth="1"/>
    <col min="6" max="6" width="2.6328125" customWidth="1"/>
  </cols>
  <sheetData>
    <row r="4" spans="2:7" x14ac:dyDescent="0.35">
      <c r="B4" s="7" t="s">
        <v>234</v>
      </c>
    </row>
    <row r="5" spans="2:7" x14ac:dyDescent="0.35">
      <c r="B5" s="2"/>
      <c r="C5" s="2"/>
      <c r="D5" s="2"/>
      <c r="E5" s="2"/>
      <c r="G5" s="2"/>
    </row>
    <row r="6" spans="2:7" x14ac:dyDescent="0.35">
      <c r="B6" s="10" t="s">
        <v>61</v>
      </c>
      <c r="C6" s="2"/>
      <c r="D6" s="2"/>
      <c r="E6" s="2"/>
      <c r="G6" s="2"/>
    </row>
    <row r="7" spans="2:7" ht="4" customHeight="1" x14ac:dyDescent="0.35">
      <c r="B7" s="2"/>
      <c r="C7" s="2"/>
      <c r="D7" s="2"/>
      <c r="E7" s="2"/>
      <c r="G7" s="2"/>
    </row>
    <row r="8" spans="2:7" x14ac:dyDescent="0.35">
      <c r="B8" s="180" t="s">
        <v>57</v>
      </c>
      <c r="C8" s="180"/>
      <c r="D8" s="2"/>
      <c r="E8" s="188"/>
      <c r="G8" s="2"/>
    </row>
    <row r="9" spans="2:7" ht="4" customHeight="1" x14ac:dyDescent="0.35">
      <c r="C9" s="2"/>
      <c r="D9" s="2"/>
      <c r="E9" s="118"/>
      <c r="G9" s="2"/>
    </row>
    <row r="10" spans="2:7" x14ac:dyDescent="0.35">
      <c r="B10" s="180" t="s">
        <v>56</v>
      </c>
      <c r="C10" s="180"/>
      <c r="D10" s="2"/>
      <c r="E10" s="188"/>
      <c r="G10" s="2"/>
    </row>
    <row r="11" spans="2:7" ht="4" customHeight="1" x14ac:dyDescent="0.35">
      <c r="B11" s="2"/>
      <c r="C11" s="2"/>
      <c r="D11" s="2"/>
      <c r="E11" s="118"/>
      <c r="G11" s="2"/>
    </row>
    <row r="12" spans="2:7" ht="14.5" customHeight="1" x14ac:dyDescent="0.35">
      <c r="B12" s="180" t="s">
        <v>253</v>
      </c>
      <c r="C12" s="180"/>
      <c r="D12" s="2"/>
      <c r="E12" s="188"/>
      <c r="G12" s="2"/>
    </row>
    <row r="13" spans="2:7" ht="4" customHeight="1" x14ac:dyDescent="0.35">
      <c r="B13" s="2"/>
      <c r="C13" s="2"/>
      <c r="D13" s="2"/>
      <c r="E13" s="118"/>
      <c r="G13" s="2"/>
    </row>
    <row r="14" spans="2:7" x14ac:dyDescent="0.35">
      <c r="B14" s="180" t="s">
        <v>254</v>
      </c>
      <c r="C14" s="180"/>
      <c r="D14" s="2"/>
      <c r="E14" s="188"/>
      <c r="G14" s="2"/>
    </row>
    <row r="15" spans="2:7" ht="4" customHeight="1" x14ac:dyDescent="0.35">
      <c r="B15" s="2"/>
      <c r="C15" s="2"/>
      <c r="D15" s="2"/>
      <c r="E15" s="118"/>
      <c r="G15" s="2"/>
    </row>
    <row r="16" spans="2:7" x14ac:dyDescent="0.35">
      <c r="B16" s="180" t="s">
        <v>58</v>
      </c>
      <c r="C16" s="180"/>
      <c r="D16" s="2"/>
      <c r="E16" s="188"/>
      <c r="G16" s="2"/>
    </row>
    <row r="17" spans="2:7" ht="4" customHeight="1" x14ac:dyDescent="0.35">
      <c r="B17" s="2"/>
      <c r="C17" s="2"/>
      <c r="D17" s="2"/>
      <c r="E17" s="118"/>
      <c r="G17" s="2"/>
    </row>
    <row r="18" spans="2:7" x14ac:dyDescent="0.35">
      <c r="B18" s="180" t="s">
        <v>59</v>
      </c>
      <c r="C18" s="180"/>
      <c r="D18" s="2"/>
      <c r="E18" s="189" t="s">
        <v>223</v>
      </c>
      <c r="G18" s="2"/>
    </row>
    <row r="19" spans="2:7" x14ac:dyDescent="0.35">
      <c r="B19" s="180"/>
      <c r="C19" s="180"/>
      <c r="D19" s="2"/>
      <c r="E19" s="189"/>
      <c r="G19" s="2"/>
    </row>
    <row r="20" spans="2:7" x14ac:dyDescent="0.35">
      <c r="B20" s="180"/>
      <c r="C20" s="180"/>
      <c r="D20" s="2"/>
      <c r="E20" s="189"/>
      <c r="G20" s="2"/>
    </row>
    <row r="21" spans="2:7" x14ac:dyDescent="0.35">
      <c r="B21" s="2"/>
      <c r="C21" s="2"/>
      <c r="D21" s="2"/>
      <c r="E21" s="118"/>
      <c r="G21" s="2"/>
    </row>
    <row r="22" spans="2:7" x14ac:dyDescent="0.35">
      <c r="B22" s="2"/>
      <c r="C22" s="2"/>
      <c r="D22" s="2"/>
      <c r="E22" s="118"/>
      <c r="G22" s="2"/>
    </row>
    <row r="23" spans="2:7" x14ac:dyDescent="0.35">
      <c r="B23" s="10" t="s">
        <v>62</v>
      </c>
      <c r="C23" s="2"/>
      <c r="D23" s="2"/>
      <c r="E23" s="118"/>
      <c r="G23" s="2"/>
    </row>
    <row r="24" spans="2:7" ht="4" customHeight="1" x14ac:dyDescent="0.35">
      <c r="B24" s="2"/>
      <c r="C24" s="2"/>
      <c r="D24" s="2"/>
      <c r="E24" s="118"/>
      <c r="G24" s="2"/>
    </row>
    <row r="25" spans="2:7" x14ac:dyDescent="0.35">
      <c r="B25" s="180" t="s">
        <v>60</v>
      </c>
      <c r="C25" s="180"/>
      <c r="D25" s="2"/>
      <c r="E25" s="188"/>
      <c r="G25" s="2"/>
    </row>
    <row r="26" spans="2:7" x14ac:dyDescent="0.35">
      <c r="B26" s="2"/>
      <c r="C26" s="2"/>
      <c r="D26" s="2"/>
      <c r="E26" s="118"/>
      <c r="G26" s="2"/>
    </row>
    <row r="27" spans="2:7" x14ac:dyDescent="0.35">
      <c r="B27" s="2"/>
      <c r="C27" s="2"/>
      <c r="D27" s="2"/>
      <c r="E27" s="118"/>
      <c r="G27" s="2"/>
    </row>
    <row r="28" spans="2:7" x14ac:dyDescent="0.35">
      <c r="B28" s="10" t="s">
        <v>63</v>
      </c>
      <c r="C28" s="2"/>
      <c r="D28" s="2"/>
      <c r="E28" s="118"/>
      <c r="G28" s="2"/>
    </row>
    <row r="29" spans="2:7" ht="4" customHeight="1" x14ac:dyDescent="0.35">
      <c r="B29" s="2"/>
      <c r="C29" s="2"/>
      <c r="D29" s="2"/>
      <c r="E29" s="118"/>
      <c r="G29" s="2"/>
    </row>
    <row r="30" spans="2:7" x14ac:dyDescent="0.35">
      <c r="B30" s="180" t="s">
        <v>250</v>
      </c>
      <c r="C30" s="180"/>
      <c r="D30" s="2"/>
      <c r="E30" s="188"/>
      <c r="G30" s="2"/>
    </row>
    <row r="31" spans="2:7" ht="4" customHeight="1" x14ac:dyDescent="0.35">
      <c r="B31" s="2"/>
      <c r="C31" s="2"/>
      <c r="D31" s="2"/>
      <c r="E31" s="118"/>
      <c r="G31" s="2"/>
    </row>
    <row r="32" spans="2:7" x14ac:dyDescent="0.35">
      <c r="B32" s="180" t="s">
        <v>252</v>
      </c>
      <c r="C32" s="180"/>
      <c r="D32" s="2"/>
      <c r="E32" s="188"/>
      <c r="G32" s="2"/>
    </row>
    <row r="33" spans="2:7" ht="4" customHeight="1" x14ac:dyDescent="0.35">
      <c r="B33" s="2"/>
      <c r="C33" s="2"/>
      <c r="D33" s="2"/>
      <c r="E33" s="118"/>
      <c r="G33" s="2"/>
    </row>
    <row r="34" spans="2:7" x14ac:dyDescent="0.35">
      <c r="B34" s="180" t="s">
        <v>251</v>
      </c>
      <c r="C34" s="180"/>
      <c r="D34" s="2"/>
      <c r="E34" s="188"/>
      <c r="G34" s="2"/>
    </row>
    <row r="35" spans="2:7" x14ac:dyDescent="0.35">
      <c r="B35" s="2"/>
      <c r="C35" s="2"/>
      <c r="D35" s="2"/>
      <c r="E35" s="2"/>
      <c r="G35" s="2"/>
    </row>
    <row r="36" spans="2:7" x14ac:dyDescent="0.35">
      <c r="B36" s="2"/>
      <c r="C36" s="2"/>
      <c r="D36" s="2"/>
      <c r="E36" s="2"/>
      <c r="G36" s="2"/>
    </row>
    <row r="37" spans="2:7" x14ac:dyDescent="0.35">
      <c r="B37" s="2"/>
      <c r="C37" s="2"/>
      <c r="D37" s="2"/>
      <c r="E37" s="2"/>
      <c r="G37" s="2"/>
    </row>
    <row r="38" spans="2:7" x14ac:dyDescent="0.35">
      <c r="B38" s="2"/>
      <c r="C38" s="2"/>
      <c r="D38" s="2"/>
      <c r="E38" s="2"/>
      <c r="G38" s="2"/>
    </row>
    <row r="39" spans="2:7" x14ac:dyDescent="0.35">
      <c r="B39" s="2"/>
      <c r="C39" s="2"/>
      <c r="D39" s="2"/>
      <c r="E39" s="2"/>
      <c r="G39" s="2"/>
    </row>
    <row r="40" spans="2:7" x14ac:dyDescent="0.35">
      <c r="B40" s="2"/>
      <c r="C40" s="2"/>
      <c r="D40" s="2"/>
      <c r="E40" s="2"/>
      <c r="G40" s="2"/>
    </row>
    <row r="41" spans="2:7" x14ac:dyDescent="0.35">
      <c r="B41" s="2"/>
      <c r="C41" s="2"/>
      <c r="D41" s="2"/>
      <c r="E41" s="2"/>
      <c r="G41" s="2"/>
    </row>
    <row r="42" spans="2:7" x14ac:dyDescent="0.35">
      <c r="B42" s="2"/>
      <c r="C42" s="2"/>
      <c r="D42" s="2"/>
      <c r="E42" s="2"/>
      <c r="G42" s="2"/>
    </row>
  </sheetData>
  <sheetProtection algorithmName="SHA-512" hashValue="dKSRn3k/yyG9gYdORsMr6HiIRcwUTii0J/3N/bGnES3omFNr2OBdQxG0xrJpB4d1vtqqT/epJkPTltwxr3Temg==" saltValue="9CmpIZjI8jodziS+iWmcKQ==" spinCount="100000" sheet="1" objects="1" scenarios="1"/>
  <mergeCells count="11">
    <mergeCell ref="B32:C32"/>
    <mergeCell ref="B12:C12"/>
    <mergeCell ref="B14:C14"/>
    <mergeCell ref="E18:E20"/>
    <mergeCell ref="B34:C34"/>
    <mergeCell ref="B30:C30"/>
    <mergeCell ref="B8:C8"/>
    <mergeCell ref="B10:C10"/>
    <mergeCell ref="B16:C16"/>
    <mergeCell ref="B25:C25"/>
    <mergeCell ref="B18:C20"/>
  </mergeCells>
  <pageMargins left="0.7" right="0.7" top="0.78740157499999996" bottom="0.78740157499999996" header="0.3" footer="0.3"/>
  <pageSetup paperSize="9" scale="73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9E5B6-E264-49B1-8F13-E559FDBB065D}">
  <sheetPr codeName="Sheet6">
    <tabColor theme="9" tint="0.79998168889431442"/>
  </sheetPr>
  <dimension ref="A4:H101"/>
  <sheetViews>
    <sheetView showGridLines="0" zoomScaleNormal="100" workbookViewId="0">
      <pane xSplit="2" ySplit="5" topLeftCell="C6" activePane="bottomRight" state="frozen"/>
      <selection pane="topRight"/>
      <selection pane="bottomLeft"/>
      <selection pane="bottomRight"/>
    </sheetView>
  </sheetViews>
  <sheetFormatPr defaultColWidth="10.90625" defaultRowHeight="14.5" x14ac:dyDescent="0.35"/>
  <cols>
    <col min="1" max="1" width="2.6328125" customWidth="1"/>
    <col min="2" max="2" width="58.08984375" customWidth="1"/>
    <col min="3" max="3" width="2.6328125" customWidth="1"/>
    <col min="4" max="6" width="8.81640625" customWidth="1"/>
    <col min="7" max="7" width="2.26953125" customWidth="1"/>
    <col min="8" max="8" width="80.90625" customWidth="1"/>
  </cols>
  <sheetData>
    <row r="4" spans="2:8" x14ac:dyDescent="0.35">
      <c r="B4" s="7" t="s">
        <v>255</v>
      </c>
    </row>
    <row r="5" spans="2:8" x14ac:dyDescent="0.35">
      <c r="D5" s="13">
        <v>2020</v>
      </c>
      <c r="E5" s="13">
        <v>2024</v>
      </c>
      <c r="F5" s="91" t="s">
        <v>221</v>
      </c>
      <c r="H5" s="175" t="s">
        <v>5</v>
      </c>
    </row>
    <row r="6" spans="2:8" x14ac:dyDescent="0.35">
      <c r="B6" s="7" t="s">
        <v>92</v>
      </c>
      <c r="G6" s="16"/>
    </row>
    <row r="7" spans="2:8" ht="4" customHeight="1" x14ac:dyDescent="0.35">
      <c r="G7" s="16"/>
    </row>
    <row r="8" spans="2:8" x14ac:dyDescent="0.35">
      <c r="B8" s="11" t="s">
        <v>93</v>
      </c>
      <c r="G8" s="16"/>
    </row>
    <row r="9" spans="2:8" x14ac:dyDescent="0.35">
      <c r="B9" s="12" t="s">
        <v>77</v>
      </c>
      <c r="D9" s="190"/>
      <c r="E9" s="190"/>
      <c r="F9" s="190"/>
      <c r="G9" s="16"/>
      <c r="H9" s="93"/>
    </row>
    <row r="10" spans="2:8" x14ac:dyDescent="0.35">
      <c r="B10" s="12" t="s">
        <v>78</v>
      </c>
      <c r="D10" s="129"/>
      <c r="E10" s="190"/>
      <c r="F10" s="190"/>
      <c r="G10" s="16"/>
    </row>
    <row r="11" spans="2:8" x14ac:dyDescent="0.35">
      <c r="B11" s="12" t="s">
        <v>79</v>
      </c>
      <c r="D11" s="129"/>
      <c r="E11" s="190"/>
      <c r="F11" s="190"/>
      <c r="G11" s="16"/>
    </row>
    <row r="12" spans="2:8" x14ac:dyDescent="0.35">
      <c r="B12" s="12" t="s">
        <v>80</v>
      </c>
      <c r="D12" s="129"/>
      <c r="E12" s="190"/>
      <c r="F12" s="190"/>
      <c r="G12" s="16"/>
    </row>
    <row r="13" spans="2:8" x14ac:dyDescent="0.35">
      <c r="B13" s="12" t="s">
        <v>81</v>
      </c>
      <c r="D13" s="129"/>
      <c r="E13" s="190"/>
      <c r="F13" s="190"/>
      <c r="G13" s="16"/>
    </row>
    <row r="14" spans="2:8" ht="4" customHeight="1" x14ac:dyDescent="0.35">
      <c r="D14" s="129"/>
      <c r="E14" s="19"/>
      <c r="F14" s="19"/>
      <c r="G14" s="16"/>
    </row>
    <row r="15" spans="2:8" x14ac:dyDescent="0.35">
      <c r="B15" s="11" t="s">
        <v>94</v>
      </c>
      <c r="D15" s="129"/>
      <c r="E15" s="19"/>
      <c r="F15" s="19"/>
      <c r="G15" s="16"/>
    </row>
    <row r="16" spans="2:8" x14ac:dyDescent="0.35">
      <c r="B16" s="12" t="s">
        <v>120</v>
      </c>
      <c r="D16" s="129"/>
      <c r="E16" s="190"/>
      <c r="F16" s="190"/>
      <c r="G16" s="16"/>
    </row>
    <row r="17" spans="2:7" x14ac:dyDescent="0.35">
      <c r="G17" s="16"/>
    </row>
    <row r="18" spans="2:7" x14ac:dyDescent="0.35">
      <c r="G18" s="16"/>
    </row>
    <row r="19" spans="2:7" x14ac:dyDescent="0.35">
      <c r="B19" s="7" t="s">
        <v>95</v>
      </c>
      <c r="D19" s="13">
        <v>2020</v>
      </c>
      <c r="E19" s="13">
        <v>2024</v>
      </c>
      <c r="F19" s="91" t="s">
        <v>221</v>
      </c>
      <c r="G19" s="85"/>
    </row>
    <row r="20" spans="2:7" x14ac:dyDescent="0.35">
      <c r="G20" s="16"/>
    </row>
    <row r="21" spans="2:7" x14ac:dyDescent="0.35">
      <c r="B21" s="11" t="s">
        <v>15</v>
      </c>
      <c r="G21" s="16"/>
    </row>
    <row r="22" spans="2:7" ht="4" customHeight="1" x14ac:dyDescent="0.35">
      <c r="G22" s="16"/>
    </row>
    <row r="23" spans="2:7" x14ac:dyDescent="0.35">
      <c r="B23" s="12" t="s">
        <v>84</v>
      </c>
      <c r="D23" s="16"/>
      <c r="E23" s="190"/>
      <c r="F23" s="190"/>
      <c r="G23" s="16"/>
    </row>
    <row r="24" spans="2:7" x14ac:dyDescent="0.35">
      <c r="B24" s="12" t="s">
        <v>86</v>
      </c>
      <c r="D24" s="16"/>
      <c r="E24" s="190"/>
      <c r="F24" s="190"/>
      <c r="G24" s="16"/>
    </row>
    <row r="25" spans="2:7" x14ac:dyDescent="0.35">
      <c r="B25" s="12" t="s">
        <v>82</v>
      </c>
      <c r="D25" s="16"/>
      <c r="E25" s="190"/>
      <c r="F25" s="190"/>
      <c r="G25" s="16"/>
    </row>
    <row r="26" spans="2:7" x14ac:dyDescent="0.35">
      <c r="B26" s="12" t="s">
        <v>83</v>
      </c>
      <c r="D26" s="16"/>
      <c r="E26" s="190"/>
      <c r="F26" s="190"/>
      <c r="G26" s="16"/>
    </row>
    <row r="27" spans="2:7" x14ac:dyDescent="0.35">
      <c r="B27" s="12" t="s">
        <v>85</v>
      </c>
      <c r="D27" s="16"/>
      <c r="E27" s="190"/>
      <c r="F27" s="190"/>
      <c r="G27" s="16"/>
    </row>
    <row r="28" spans="2:7" x14ac:dyDescent="0.35">
      <c r="E28" s="19"/>
      <c r="F28" s="19"/>
      <c r="G28" s="16"/>
    </row>
    <row r="29" spans="2:7" x14ac:dyDescent="0.35">
      <c r="B29" s="11" t="s">
        <v>8</v>
      </c>
      <c r="E29" s="19"/>
      <c r="F29" s="19"/>
      <c r="G29" s="16"/>
    </row>
    <row r="30" spans="2:7" ht="4" customHeight="1" x14ac:dyDescent="0.35">
      <c r="E30" s="19"/>
      <c r="F30" s="19"/>
      <c r="G30" s="16"/>
    </row>
    <row r="31" spans="2:7" x14ac:dyDescent="0.35">
      <c r="B31" s="12" t="s">
        <v>96</v>
      </c>
      <c r="D31" s="16"/>
      <c r="E31" s="190"/>
      <c r="F31" s="190"/>
      <c r="G31" s="16"/>
    </row>
    <row r="32" spans="2:7" x14ac:dyDescent="0.35">
      <c r="B32" s="92" t="s">
        <v>97</v>
      </c>
      <c r="D32" s="16"/>
      <c r="E32" s="190"/>
      <c r="F32" s="190"/>
      <c r="G32" s="16"/>
    </row>
    <row r="33" spans="1:8" x14ac:dyDescent="0.35">
      <c r="B33" s="6"/>
      <c r="E33" s="19"/>
      <c r="F33" s="19"/>
      <c r="G33" s="16"/>
    </row>
    <row r="34" spans="1:8" x14ac:dyDescent="0.35">
      <c r="B34" s="11" t="s">
        <v>98</v>
      </c>
      <c r="E34" s="19"/>
      <c r="F34" s="19"/>
      <c r="G34" s="16"/>
    </row>
    <row r="35" spans="1:8" ht="4" customHeight="1" x14ac:dyDescent="0.35">
      <c r="B35" s="11"/>
      <c r="E35" s="19"/>
      <c r="F35" s="19"/>
      <c r="G35" s="16"/>
    </row>
    <row r="36" spans="1:8" x14ac:dyDescent="0.35">
      <c r="B36" s="12" t="s">
        <v>117</v>
      </c>
      <c r="D36" s="16"/>
      <c r="E36" s="190"/>
      <c r="F36" s="190"/>
      <c r="G36" s="16"/>
    </row>
    <row r="37" spans="1:8" x14ac:dyDescent="0.35">
      <c r="B37" s="12" t="s">
        <v>88</v>
      </c>
      <c r="D37" s="16"/>
      <c r="E37" s="190"/>
      <c r="F37" s="190"/>
      <c r="G37" s="16"/>
    </row>
    <row r="38" spans="1:8" x14ac:dyDescent="0.35">
      <c r="B38" s="12" t="s">
        <v>87</v>
      </c>
      <c r="D38" s="16"/>
      <c r="E38" s="190"/>
      <c r="F38" s="190"/>
      <c r="G38" s="16"/>
    </row>
    <row r="39" spans="1:8" x14ac:dyDescent="0.35">
      <c r="D39" s="16"/>
      <c r="E39" s="19"/>
      <c r="F39" s="19"/>
      <c r="G39" s="16"/>
    </row>
    <row r="40" spans="1:8" x14ac:dyDescent="0.35">
      <c r="B40" s="11" t="s">
        <v>118</v>
      </c>
      <c r="D40" s="16"/>
      <c r="E40" s="19"/>
      <c r="F40" s="19"/>
      <c r="G40" s="16"/>
    </row>
    <row r="41" spans="1:8" ht="4" customHeight="1" x14ac:dyDescent="0.35">
      <c r="B41" s="11"/>
      <c r="D41" s="16"/>
      <c r="E41" s="19"/>
      <c r="F41" s="19"/>
      <c r="G41" s="16"/>
    </row>
    <row r="42" spans="1:8" x14ac:dyDescent="0.35">
      <c r="B42" s="12" t="s">
        <v>118</v>
      </c>
      <c r="D42" s="16"/>
      <c r="E42" s="190"/>
      <c r="F42" s="190"/>
      <c r="G42" s="16"/>
    </row>
    <row r="43" spans="1:8" s="14" customFormat="1" x14ac:dyDescent="0.35">
      <c r="A43"/>
      <c r="B43" s="15"/>
      <c r="D43" s="16"/>
      <c r="E43" s="129"/>
      <c r="F43" s="129"/>
      <c r="G43" s="16"/>
    </row>
    <row r="44" spans="1:8" s="14" customFormat="1" x14ac:dyDescent="0.35">
      <c r="A44"/>
      <c r="B44" s="11" t="s">
        <v>225</v>
      </c>
      <c r="D44" s="16"/>
      <c r="E44" s="129"/>
      <c r="F44" s="129"/>
      <c r="G44" s="16"/>
    </row>
    <row r="45" spans="1:8" ht="4" customHeight="1" x14ac:dyDescent="0.35">
      <c r="D45" s="16"/>
      <c r="E45" s="19"/>
      <c r="F45" s="19"/>
      <c r="G45" s="16"/>
    </row>
    <row r="46" spans="1:8" x14ac:dyDescent="0.35">
      <c r="B46" s="12" t="s">
        <v>226</v>
      </c>
      <c r="D46" s="16"/>
      <c r="E46" s="190"/>
      <c r="F46" s="190"/>
      <c r="G46" s="16"/>
      <c r="H46" t="s">
        <v>263</v>
      </c>
    </row>
    <row r="47" spans="1:8" x14ac:dyDescent="0.35">
      <c r="B47" s="12" t="s">
        <v>227</v>
      </c>
      <c r="D47" s="16"/>
      <c r="E47" s="190"/>
      <c r="F47" s="190"/>
      <c r="G47" s="16"/>
    </row>
    <row r="48" spans="1:8" x14ac:dyDescent="0.35">
      <c r="B48" s="12" t="s">
        <v>228</v>
      </c>
      <c r="D48" s="16"/>
      <c r="E48" s="190"/>
      <c r="F48" s="190"/>
      <c r="G48" s="16"/>
    </row>
    <row r="49" spans="2:8" x14ac:dyDescent="0.35">
      <c r="G49" s="16"/>
    </row>
    <row r="50" spans="2:8" x14ac:dyDescent="0.35">
      <c r="G50" s="16"/>
      <c r="H50" s="94"/>
    </row>
    <row r="51" spans="2:8" x14ac:dyDescent="0.35">
      <c r="B51" s="7" t="s">
        <v>100</v>
      </c>
      <c r="D51" s="13">
        <v>2020</v>
      </c>
      <c r="E51" s="13">
        <v>2024</v>
      </c>
      <c r="F51" s="91" t="s">
        <v>221</v>
      </c>
      <c r="G51" s="85"/>
    </row>
    <row r="52" spans="2:8" ht="4" customHeight="1" x14ac:dyDescent="0.35">
      <c r="G52" s="16"/>
    </row>
    <row r="53" spans="2:8" x14ac:dyDescent="0.35">
      <c r="B53" s="12" t="s">
        <v>89</v>
      </c>
      <c r="D53" s="16"/>
      <c r="E53" s="190"/>
      <c r="F53" s="190"/>
      <c r="G53" s="16"/>
    </row>
    <row r="54" spans="2:8" x14ac:dyDescent="0.35">
      <c r="B54" s="12" t="s">
        <v>90</v>
      </c>
      <c r="D54" s="16"/>
      <c r="E54" s="190"/>
      <c r="F54" s="190"/>
      <c r="G54" s="16"/>
    </row>
    <row r="55" spans="2:8" x14ac:dyDescent="0.35">
      <c r="B55" s="12" t="s">
        <v>91</v>
      </c>
      <c r="D55" s="16"/>
      <c r="E55" s="190"/>
      <c r="F55" s="190"/>
      <c r="G55" s="16"/>
    </row>
    <row r="56" spans="2:8" x14ac:dyDescent="0.35">
      <c r="G56" s="16"/>
    </row>
    <row r="57" spans="2:8" x14ac:dyDescent="0.35">
      <c r="G57" s="16"/>
    </row>
    <row r="58" spans="2:8" x14ac:dyDescent="0.35">
      <c r="B58" s="7" t="s">
        <v>222</v>
      </c>
      <c r="D58" s="13">
        <v>2020</v>
      </c>
      <c r="E58" s="13">
        <v>2024</v>
      </c>
      <c r="F58" s="91" t="s">
        <v>221</v>
      </c>
      <c r="G58" s="85"/>
    </row>
    <row r="59" spans="2:8" ht="4" customHeight="1" x14ac:dyDescent="0.35">
      <c r="G59" s="16"/>
    </row>
    <row r="60" spans="2:8" x14ac:dyDescent="0.35">
      <c r="B60" s="12" t="s">
        <v>149</v>
      </c>
      <c r="D60" s="16"/>
      <c r="E60" s="191"/>
      <c r="F60" s="191"/>
      <c r="G60" s="16"/>
    </row>
    <row r="61" spans="2:8" x14ac:dyDescent="0.35">
      <c r="B61" s="12" t="s">
        <v>150</v>
      </c>
      <c r="D61" s="16"/>
      <c r="E61" s="191"/>
      <c r="F61" s="191"/>
      <c r="G61" s="16"/>
    </row>
    <row r="64" spans="2:8" x14ac:dyDescent="0.35">
      <c r="B64" s="7" t="s">
        <v>152</v>
      </c>
      <c r="D64" s="181" t="s">
        <v>143</v>
      </c>
      <c r="E64" s="181"/>
      <c r="F64" s="181"/>
    </row>
    <row r="65" spans="2:6" ht="4" customHeight="1" x14ac:dyDescent="0.35">
      <c r="D65" s="130"/>
    </row>
    <row r="66" spans="2:6" x14ac:dyDescent="0.35">
      <c r="B66" s="12" t="s">
        <v>140</v>
      </c>
      <c r="D66" s="192"/>
      <c r="E66" s="192"/>
      <c r="F66" s="192"/>
    </row>
    <row r="67" spans="2:6" x14ac:dyDescent="0.35">
      <c r="B67" s="12" t="s">
        <v>70</v>
      </c>
      <c r="D67" s="192"/>
      <c r="E67" s="192"/>
      <c r="F67" s="192"/>
    </row>
    <row r="68" spans="2:6" x14ac:dyDescent="0.35">
      <c r="B68" s="12" t="s">
        <v>141</v>
      </c>
      <c r="D68" s="192"/>
      <c r="E68" s="192"/>
      <c r="F68" s="192"/>
    </row>
    <row r="69" spans="2:6" x14ac:dyDescent="0.35">
      <c r="B69" s="12" t="s">
        <v>142</v>
      </c>
      <c r="D69" s="192"/>
      <c r="E69" s="192"/>
      <c r="F69" s="192"/>
    </row>
    <row r="70" spans="2:6" x14ac:dyDescent="0.35">
      <c r="B70" s="12" t="s">
        <v>40</v>
      </c>
      <c r="D70" s="192"/>
      <c r="E70" s="192"/>
      <c r="F70" s="192"/>
    </row>
    <row r="71" spans="2:6" x14ac:dyDescent="0.35">
      <c r="B71" s="12"/>
      <c r="D71" s="130"/>
    </row>
    <row r="72" spans="2:6" x14ac:dyDescent="0.35">
      <c r="D72" s="130"/>
    </row>
    <row r="73" spans="2:6" x14ac:dyDescent="0.35">
      <c r="B73" s="7" t="s">
        <v>43</v>
      </c>
      <c r="D73" s="181" t="s">
        <v>143</v>
      </c>
      <c r="E73" s="181"/>
      <c r="F73" s="181"/>
    </row>
    <row r="74" spans="2:6" ht="4" customHeight="1" x14ac:dyDescent="0.35">
      <c r="D74" s="130"/>
    </row>
    <row r="75" spans="2:6" x14ac:dyDescent="0.35">
      <c r="B75" s="12" t="s">
        <v>256</v>
      </c>
      <c r="D75" s="192"/>
      <c r="E75" s="192"/>
      <c r="F75" s="192"/>
    </row>
    <row r="76" spans="2:6" x14ac:dyDescent="0.35">
      <c r="B76" s="12" t="s">
        <v>262</v>
      </c>
      <c r="D76" s="192"/>
      <c r="E76" s="192"/>
      <c r="F76" s="192"/>
    </row>
    <row r="77" spans="2:6" x14ac:dyDescent="0.35">
      <c r="B77" s="12" t="s">
        <v>257</v>
      </c>
      <c r="D77" s="192"/>
      <c r="E77" s="192"/>
      <c r="F77" s="192"/>
    </row>
    <row r="78" spans="2:6" x14ac:dyDescent="0.35">
      <c r="D78" s="130"/>
    </row>
    <row r="79" spans="2:6" x14ac:dyDescent="0.35">
      <c r="D79" s="130"/>
    </row>
    <row r="80" spans="2:6" x14ac:dyDescent="0.35">
      <c r="B80" s="7" t="s">
        <v>53</v>
      </c>
      <c r="D80" s="181" t="s">
        <v>144</v>
      </c>
      <c r="E80" s="181"/>
      <c r="F80" s="181"/>
    </row>
    <row r="81" spans="2:8" ht="4" customHeight="1" x14ac:dyDescent="0.35">
      <c r="D81" s="130"/>
    </row>
    <row r="82" spans="2:8" x14ac:dyDescent="0.35">
      <c r="B82" s="12" t="s">
        <v>54</v>
      </c>
      <c r="D82" s="192"/>
      <c r="E82" s="192"/>
      <c r="F82" s="192"/>
    </row>
    <row r="83" spans="2:8" x14ac:dyDescent="0.35">
      <c r="B83" s="12" t="s">
        <v>55</v>
      </c>
      <c r="D83" s="192"/>
      <c r="E83" s="192"/>
      <c r="F83" s="192"/>
    </row>
    <row r="84" spans="2:8" x14ac:dyDescent="0.35">
      <c r="D84" s="130"/>
    </row>
    <row r="85" spans="2:8" x14ac:dyDescent="0.35">
      <c r="D85" s="130"/>
    </row>
    <row r="86" spans="2:8" x14ac:dyDescent="0.35">
      <c r="B86" s="7" t="s">
        <v>64</v>
      </c>
      <c r="D86" s="181" t="s">
        <v>146</v>
      </c>
      <c r="E86" s="181"/>
      <c r="F86" s="181"/>
    </row>
    <row r="87" spans="2:8" ht="4" customHeight="1" x14ac:dyDescent="0.35">
      <c r="D87" s="130"/>
    </row>
    <row r="88" spans="2:8" x14ac:dyDescent="0.35">
      <c r="B88" s="12" t="s">
        <v>147</v>
      </c>
      <c r="D88" s="192"/>
      <c r="E88" s="192"/>
      <c r="F88" s="192"/>
    </row>
    <row r="89" spans="2:8" x14ac:dyDescent="0.35">
      <c r="B89" s="12" t="s">
        <v>66</v>
      </c>
      <c r="D89" s="192"/>
      <c r="E89" s="192"/>
      <c r="F89" s="192"/>
    </row>
    <row r="90" spans="2:8" x14ac:dyDescent="0.35">
      <c r="B90" s="12" t="s">
        <v>67</v>
      </c>
      <c r="D90" s="192"/>
      <c r="E90" s="192"/>
      <c r="F90" s="192"/>
    </row>
    <row r="91" spans="2:8" x14ac:dyDescent="0.35">
      <c r="B91" s="12" t="s">
        <v>68</v>
      </c>
      <c r="D91" s="192"/>
      <c r="E91" s="192"/>
      <c r="F91" s="192"/>
    </row>
    <row r="92" spans="2:8" x14ac:dyDescent="0.35">
      <c r="D92" s="130"/>
    </row>
    <row r="93" spans="2:8" x14ac:dyDescent="0.35">
      <c r="D93" s="130"/>
    </row>
    <row r="94" spans="2:8" x14ac:dyDescent="0.35">
      <c r="B94" s="7" t="s">
        <v>71</v>
      </c>
      <c r="D94" s="181" t="s">
        <v>146</v>
      </c>
      <c r="E94" s="181"/>
      <c r="F94" s="181"/>
      <c r="G94" s="85"/>
    </row>
    <row r="95" spans="2:8" ht="4" customHeight="1" x14ac:dyDescent="0.35">
      <c r="D95" s="130"/>
      <c r="E95" s="16"/>
      <c r="F95" s="16"/>
      <c r="G95" s="16"/>
    </row>
    <row r="96" spans="2:8" ht="12.5" customHeight="1" x14ac:dyDescent="0.35">
      <c r="B96" s="12" t="s">
        <v>229</v>
      </c>
      <c r="D96" s="192"/>
      <c r="E96" s="192"/>
      <c r="F96" s="192"/>
      <c r="G96" s="16"/>
      <c r="H96" s="95" t="s">
        <v>72</v>
      </c>
    </row>
    <row r="97" spans="2:7" x14ac:dyDescent="0.35">
      <c r="B97" s="7"/>
      <c r="D97" s="130"/>
    </row>
    <row r="98" spans="2:7" x14ac:dyDescent="0.35">
      <c r="D98" s="130"/>
    </row>
    <row r="99" spans="2:7" x14ac:dyDescent="0.35">
      <c r="B99" s="7" t="s">
        <v>102</v>
      </c>
      <c r="D99" s="181" t="s">
        <v>146</v>
      </c>
      <c r="E99" s="181"/>
      <c r="F99" s="181"/>
      <c r="G99" s="85"/>
    </row>
    <row r="100" spans="2:7" ht="4" customHeight="1" x14ac:dyDescent="0.35">
      <c r="D100" s="130"/>
      <c r="E100" s="16"/>
      <c r="F100" s="16"/>
      <c r="G100" s="16"/>
    </row>
    <row r="101" spans="2:7" x14ac:dyDescent="0.35">
      <c r="B101" s="12" t="s">
        <v>230</v>
      </c>
      <c r="D101" s="192"/>
      <c r="E101" s="192"/>
      <c r="F101" s="192"/>
      <c r="G101" s="16"/>
    </row>
  </sheetData>
  <sheetProtection algorithmName="SHA-512" hashValue="OirHRGmlsZDdKfKwgN3XMcYR68LPoKq23fKnWdyGD4HZ0kqIPgM7RedCEU050Q6rjXX7YRc1ys6n72jb9s6JQA==" saltValue="fQDdWkuuPVC7nUUnKtJA1w==" spinCount="100000" sheet="1" objects="1" scenarios="1"/>
  <mergeCells count="22">
    <mergeCell ref="D70:F70"/>
    <mergeCell ref="D99:F99"/>
    <mergeCell ref="D89:F89"/>
    <mergeCell ref="D90:F90"/>
    <mergeCell ref="D91:F91"/>
    <mergeCell ref="D96:F96"/>
    <mergeCell ref="D101:F101"/>
    <mergeCell ref="D64:F64"/>
    <mergeCell ref="D73:F73"/>
    <mergeCell ref="D80:F80"/>
    <mergeCell ref="D86:F86"/>
    <mergeCell ref="D94:F94"/>
    <mergeCell ref="D75:F75"/>
    <mergeCell ref="D76:F76"/>
    <mergeCell ref="D77:F77"/>
    <mergeCell ref="D82:F82"/>
    <mergeCell ref="D83:F83"/>
    <mergeCell ref="D88:F88"/>
    <mergeCell ref="D66:F66"/>
    <mergeCell ref="D67:F67"/>
    <mergeCell ref="D68:F68"/>
    <mergeCell ref="D69:F69"/>
  </mergeCells>
  <pageMargins left="0.7" right="0.7" top="0.78740157499999996" bottom="0.78740157499999996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42227C11-92E0-43CC-9D6C-0E0E61617F37}">
          <x14:formula1>
            <xm:f>Liste!$E$4:$E$5</xm:f>
          </x14:formula1>
          <xm:sqref>D66:D70 D75:D77</xm:sqref>
        </x14:dataValidation>
        <x14:dataValidation type="list" allowBlank="1" showInputMessage="1" showErrorMessage="1" xr:uid="{3AD33235-D3A3-4FF0-BAB4-7F8D589F76EA}">
          <x14:formula1>
            <xm:f>Liste!$H$4:$H$8</xm:f>
          </x14:formula1>
          <xm:sqref>D82:D83</xm:sqref>
        </x14:dataValidation>
        <x14:dataValidation type="list" allowBlank="1" showInputMessage="1" showErrorMessage="1" xr:uid="{15DF6F07-CD67-4F4F-8D17-D2F241862FCC}">
          <x14:formula1>
            <xm:f>Liste!$I$4:$I$8</xm:f>
          </x14:formula1>
          <xm:sqref>D88</xm:sqref>
        </x14:dataValidation>
        <x14:dataValidation type="list" allowBlank="1" showInputMessage="1" showErrorMessage="1" xr:uid="{C9E6C64E-5C7B-4796-BD7E-0DB606CFF7DA}">
          <x14:formula1>
            <xm:f>Liste!$J$4:$J$8</xm:f>
          </x14:formula1>
          <xm:sqref>D89</xm:sqref>
        </x14:dataValidation>
        <x14:dataValidation type="list" allowBlank="1" showInputMessage="1" showErrorMessage="1" xr:uid="{4832923B-CA39-4EA3-BDD0-4D4BEEF3BB02}">
          <x14:formula1>
            <xm:f>Liste!$K$4:$K$8</xm:f>
          </x14:formula1>
          <xm:sqref>D90</xm:sqref>
        </x14:dataValidation>
        <x14:dataValidation type="list" allowBlank="1" showInputMessage="1" showErrorMessage="1" xr:uid="{E9763F8A-B871-4ABD-BEAA-462FE887F99A}">
          <x14:formula1>
            <xm:f>Liste!$L$4:$L$8</xm:f>
          </x14:formula1>
          <xm:sqref>D91</xm:sqref>
        </x14:dataValidation>
        <x14:dataValidation type="list" allowBlank="1" showInputMessage="1" showErrorMessage="1" xr:uid="{C0E8E21F-0279-4291-95E5-98B4ABA3C298}">
          <x14:formula1>
            <xm:f>Liste!$G$4:$G$8</xm:f>
          </x14:formula1>
          <xm:sqref>D96</xm:sqref>
        </x14:dataValidation>
        <x14:dataValidation type="list" allowBlank="1" showInputMessage="1" showErrorMessage="1" xr:uid="{2B75F426-6409-4B4B-8857-66AB116E152E}">
          <x14:formula1>
            <xm:f>Liste!$F$4:$F$8</xm:f>
          </x14:formula1>
          <xm:sqref>D101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47B13-D02F-4424-88DC-2A17866E6F27}">
  <sheetPr codeName="Sheet7">
    <tabColor theme="9" tint="0.79998168889431442"/>
  </sheetPr>
  <dimension ref="B4:L139"/>
  <sheetViews>
    <sheetView showGridLines="0" zoomScaleNormal="100" workbookViewId="0"/>
  </sheetViews>
  <sheetFormatPr defaultColWidth="10.90625" defaultRowHeight="14.5" x14ac:dyDescent="0.35"/>
  <cols>
    <col min="1" max="1" width="2.6328125" customWidth="1"/>
    <col min="2" max="2" width="3.6328125" customWidth="1"/>
    <col min="3" max="3" width="41.453125" customWidth="1"/>
    <col min="4" max="4" width="2.6328125" hidden="1" customWidth="1"/>
    <col min="5" max="5" width="42.08984375" hidden="1" customWidth="1"/>
    <col min="6" max="6" width="2.6328125" customWidth="1"/>
    <col min="7" max="7" width="8.6328125" customWidth="1"/>
    <col min="8" max="8" width="18.36328125" style="130" bestFit="1" customWidth="1"/>
    <col min="9" max="9" width="14.81640625" style="155" customWidth="1"/>
    <col min="10" max="10" width="10" bestFit="1" customWidth="1"/>
    <col min="11" max="11" width="2.6328125" customWidth="1"/>
    <col min="12" max="12" width="60.6328125" customWidth="1"/>
  </cols>
  <sheetData>
    <row r="4" spans="2:12" x14ac:dyDescent="0.35">
      <c r="B4" s="7" t="s">
        <v>9</v>
      </c>
      <c r="I4" s="145"/>
    </row>
    <row r="5" spans="2:12" ht="4.5" customHeight="1" x14ac:dyDescent="0.35">
      <c r="B5" s="104"/>
      <c r="C5" s="104"/>
      <c r="D5" s="104"/>
      <c r="E5" s="104"/>
      <c r="G5" s="119"/>
      <c r="H5" s="136"/>
      <c r="I5" s="146"/>
      <c r="J5" s="104"/>
      <c r="L5" s="119"/>
    </row>
    <row r="6" spans="2:12" x14ac:dyDescent="0.35">
      <c r="B6" s="185" t="s">
        <v>6</v>
      </c>
      <c r="C6" s="185"/>
      <c r="D6" s="104"/>
      <c r="E6" s="107" t="s">
        <v>4</v>
      </c>
      <c r="G6" s="115" t="s">
        <v>121</v>
      </c>
      <c r="H6" s="137" t="s">
        <v>122</v>
      </c>
      <c r="I6" s="147" t="s">
        <v>138</v>
      </c>
      <c r="J6" s="4" t="s">
        <v>128</v>
      </c>
      <c r="L6" s="115" t="s">
        <v>5</v>
      </c>
    </row>
    <row r="7" spans="2:12" ht="14.5" customHeight="1" x14ac:dyDescent="0.35">
      <c r="B7" s="182" t="s">
        <v>7</v>
      </c>
      <c r="C7" s="183"/>
      <c r="D7" s="103"/>
      <c r="E7" s="101"/>
      <c r="F7" s="2"/>
      <c r="G7" s="116"/>
      <c r="H7" s="138"/>
      <c r="I7" s="148"/>
      <c r="J7" s="131"/>
      <c r="K7" s="2"/>
      <c r="L7" s="116"/>
    </row>
    <row r="8" spans="2:12" ht="29" x14ac:dyDescent="0.35">
      <c r="B8" s="108"/>
      <c r="C8" s="108" t="str">
        <f>+Meta!B8</f>
        <v>Umsatzwachstum</v>
      </c>
      <c r="D8" s="103"/>
      <c r="E8" s="108" t="s">
        <v>178</v>
      </c>
      <c r="F8" s="2"/>
      <c r="G8" s="117" t="s">
        <v>129</v>
      </c>
      <c r="H8" s="139">
        <v>0.125</v>
      </c>
      <c r="I8" s="156" t="str">
        <f>IFERROR(('Eingabe Werte'!E9/'Eingabe Werte'!D9)^(1/COUNT('Eingabe Werte'!E6:G6))-1,"")</f>
        <v/>
      </c>
      <c r="J8" s="100" t="str">
        <f>+VLOOKUP($C8,Meta!$B$8:$J$15,9,FALSE)</f>
        <v>n/a</v>
      </c>
      <c r="K8" s="2"/>
      <c r="L8" s="127" t="s">
        <v>224</v>
      </c>
    </row>
    <row r="9" spans="2:12" x14ac:dyDescent="0.35">
      <c r="B9" s="182" t="s">
        <v>25</v>
      </c>
      <c r="C9" s="183"/>
      <c r="D9" s="103"/>
      <c r="E9" s="101"/>
      <c r="F9" s="2"/>
      <c r="G9" s="116"/>
      <c r="H9" s="138"/>
      <c r="I9" s="149"/>
      <c r="J9" s="102"/>
      <c r="K9" s="2"/>
      <c r="L9" s="116"/>
    </row>
    <row r="10" spans="2:12" x14ac:dyDescent="0.35">
      <c r="B10" s="108"/>
      <c r="C10" s="108" t="str">
        <f>+Meta!B9</f>
        <v xml:space="preserve">Rohertragsmarge-Marge </v>
      </c>
      <c r="D10" s="103"/>
      <c r="E10" s="108" t="s">
        <v>179</v>
      </c>
      <c r="F10" s="2"/>
      <c r="G10" s="117" t="s">
        <v>129</v>
      </c>
      <c r="H10" s="139">
        <v>0.125</v>
      </c>
      <c r="I10" s="156" t="str">
        <f>IF('Eingabe Werte'!E10="","",IFERROR('Eingabe Werte'!E10/'Eingabe Werte'!E9,""))</f>
        <v/>
      </c>
      <c r="J10" s="100" t="str">
        <f>+VLOOKUP($C10,Meta!$B$8:$J$15,9,FALSE)</f>
        <v>n/a</v>
      </c>
      <c r="K10" s="2"/>
      <c r="L10" s="127"/>
    </row>
    <row r="11" spans="2:12" x14ac:dyDescent="0.35">
      <c r="B11" s="182" t="s">
        <v>19</v>
      </c>
      <c r="C11" s="183"/>
      <c r="D11" s="103"/>
      <c r="E11" s="101"/>
      <c r="F11" s="2"/>
      <c r="G11" s="116"/>
      <c r="H11" s="138"/>
      <c r="I11" s="149"/>
      <c r="J11" s="102"/>
      <c r="K11" s="2"/>
      <c r="L11" s="116"/>
    </row>
    <row r="12" spans="2:12" x14ac:dyDescent="0.35">
      <c r="B12" s="108"/>
      <c r="C12" s="108" t="str">
        <f>+Meta!B10</f>
        <v xml:space="preserve">EBITDA-Marge </v>
      </c>
      <c r="D12" s="103"/>
      <c r="E12" s="108" t="s">
        <v>180</v>
      </c>
      <c r="F12" s="2"/>
      <c r="G12" s="117" t="s">
        <v>129</v>
      </c>
      <c r="H12" s="139">
        <v>0.125</v>
      </c>
      <c r="I12" s="156" t="str">
        <f>IF('Eingabe Werte'!E11="","",IFERROR('Eingabe Werte'!E11/'Eingabe Werte'!E9,""))</f>
        <v/>
      </c>
      <c r="J12" s="100" t="str">
        <f>+VLOOKUP($C12,Meta!$B$8:$J$15,9,FALSE)</f>
        <v>n/a</v>
      </c>
      <c r="K12" s="2"/>
      <c r="L12" s="127"/>
    </row>
    <row r="13" spans="2:12" ht="14.5" customHeight="1" x14ac:dyDescent="0.35">
      <c r="B13" s="182" t="s">
        <v>20</v>
      </c>
      <c r="C13" s="183"/>
      <c r="D13" s="103"/>
      <c r="E13" s="101"/>
      <c r="F13" s="2"/>
      <c r="G13" s="116"/>
      <c r="H13" s="138"/>
      <c r="I13" s="149"/>
      <c r="J13" s="102"/>
      <c r="K13" s="2"/>
      <c r="L13" s="116"/>
    </row>
    <row r="14" spans="2:12" x14ac:dyDescent="0.35">
      <c r="B14" s="108"/>
      <c r="C14" s="108" t="str">
        <f>+Meta!B11</f>
        <v xml:space="preserve">EBIT-Marge </v>
      </c>
      <c r="D14" s="103"/>
      <c r="E14" s="108" t="s">
        <v>181</v>
      </c>
      <c r="F14" s="2"/>
      <c r="G14" s="117" t="s">
        <v>129</v>
      </c>
      <c r="H14" s="139">
        <v>0.125</v>
      </c>
      <c r="I14" s="156" t="str">
        <f>IF('Eingabe Werte'!E12="","",IFERROR('Eingabe Werte'!E12/'Eingabe Werte'!E9,""))</f>
        <v/>
      </c>
      <c r="J14" s="100" t="str">
        <f>+VLOOKUP($C14,Meta!$B$8:$J$15,9,FALSE)</f>
        <v>n/a</v>
      </c>
      <c r="K14" s="2"/>
      <c r="L14" s="127"/>
    </row>
    <row r="15" spans="2:12" ht="14.5" customHeight="1" x14ac:dyDescent="0.35">
      <c r="B15" s="182" t="s">
        <v>22</v>
      </c>
      <c r="C15" s="183"/>
      <c r="D15" s="103"/>
      <c r="E15" s="101"/>
      <c r="F15" s="2"/>
      <c r="G15" s="116"/>
      <c r="H15" s="138"/>
      <c r="I15" s="149"/>
      <c r="J15" s="102"/>
      <c r="K15" s="2"/>
      <c r="L15" s="116"/>
    </row>
    <row r="16" spans="2:12" x14ac:dyDescent="0.35">
      <c r="B16" s="108"/>
      <c r="C16" s="108" t="str">
        <f>+Meta!B12</f>
        <v xml:space="preserve">EAT-Marge </v>
      </c>
      <c r="D16" s="103"/>
      <c r="E16" s="108" t="s">
        <v>182</v>
      </c>
      <c r="F16" s="2"/>
      <c r="G16" s="117" t="s">
        <v>129</v>
      </c>
      <c r="H16" s="139">
        <v>0.125</v>
      </c>
      <c r="I16" s="156" t="str">
        <f>IF('Eingabe Werte'!E13="","",IFERROR('Eingabe Werte'!E13/'Eingabe Werte'!E9,""))</f>
        <v/>
      </c>
      <c r="J16" s="100" t="str">
        <f>+VLOOKUP($C16,Meta!$B$8:$J$15,9,FALSE)</f>
        <v>n/a</v>
      </c>
      <c r="K16" s="2"/>
      <c r="L16" s="127"/>
    </row>
    <row r="17" spans="2:12" ht="14.5" customHeight="1" x14ac:dyDescent="0.35">
      <c r="B17" s="182" t="s">
        <v>36</v>
      </c>
      <c r="C17" s="183"/>
      <c r="D17" s="103"/>
      <c r="E17" s="101"/>
      <c r="F17" s="2"/>
      <c r="G17" s="116"/>
      <c r="H17" s="138"/>
      <c r="I17" s="149"/>
      <c r="J17" s="102"/>
      <c r="K17" s="2"/>
      <c r="L17" s="116"/>
    </row>
    <row r="18" spans="2:12" x14ac:dyDescent="0.35">
      <c r="B18" s="108"/>
      <c r="C18" s="108" t="str">
        <f>+Meta!B13</f>
        <v>Return on Net Assets (RoNA)</v>
      </c>
      <c r="D18" s="103"/>
      <c r="E18" s="108" t="s">
        <v>183</v>
      </c>
      <c r="F18" s="2"/>
      <c r="G18" s="117" t="s">
        <v>129</v>
      </c>
      <c r="H18" s="139">
        <v>0.125</v>
      </c>
      <c r="I18" s="156" t="str">
        <f>IFERROR('Eingabe Werte'!E12/('Eingabe Werte'!E36+'Eingabe Werte'!E23+'Eingabe Werte'!E25+'Eingabe Werte'!E27-'Eingabe Werte'!E26-'Eingabe Werte'!E24),"")</f>
        <v/>
      </c>
      <c r="J18" s="100" t="str">
        <f>+VLOOKUP($C18,Meta!$B$8:$J$15,9,FALSE)</f>
        <v>n/a</v>
      </c>
      <c r="K18" s="2"/>
      <c r="L18" s="128"/>
    </row>
    <row r="19" spans="2:12" ht="14.5" customHeight="1" x14ac:dyDescent="0.35">
      <c r="B19" s="182" t="s">
        <v>23</v>
      </c>
      <c r="C19" s="183"/>
      <c r="D19" s="103"/>
      <c r="E19" s="101"/>
      <c r="F19" s="2"/>
      <c r="G19" s="116"/>
      <c r="H19" s="138"/>
      <c r="I19" s="149"/>
      <c r="J19" s="102"/>
      <c r="K19" s="2"/>
      <c r="L19" s="116"/>
    </row>
    <row r="20" spans="2:12" x14ac:dyDescent="0.35">
      <c r="B20" s="108"/>
      <c r="C20" s="108" t="str">
        <f>+Meta!B14</f>
        <v xml:space="preserve">Return on Capital Employed (ROCE) </v>
      </c>
      <c r="D20" s="103"/>
      <c r="E20" s="108" t="s">
        <v>184</v>
      </c>
      <c r="F20" s="2"/>
      <c r="G20" s="117" t="s">
        <v>129</v>
      </c>
      <c r="H20" s="139">
        <v>0.125</v>
      </c>
      <c r="I20" s="156" t="str">
        <f>IFERROR('Eingabe Werte'!E12/('Eingabe Werte'!E31+'Eingabe Werte'!E37),"")</f>
        <v/>
      </c>
      <c r="J20" s="100" t="str">
        <f>+VLOOKUP($C20,Meta!$B$8:$J$15,9,FALSE)</f>
        <v>n/a</v>
      </c>
      <c r="K20" s="2"/>
      <c r="L20" s="128"/>
    </row>
    <row r="21" spans="2:12" ht="14.5" customHeight="1" x14ac:dyDescent="0.35">
      <c r="B21" s="182" t="s">
        <v>24</v>
      </c>
      <c r="C21" s="183"/>
      <c r="D21" s="103"/>
      <c r="E21" s="101"/>
      <c r="F21" s="2"/>
      <c r="G21" s="116"/>
      <c r="H21" s="138"/>
      <c r="I21" s="149"/>
      <c r="J21" s="102"/>
      <c r="K21" s="2"/>
      <c r="L21" s="116"/>
    </row>
    <row r="22" spans="2:12" x14ac:dyDescent="0.35">
      <c r="B22" s="108"/>
      <c r="C22" s="108" t="str">
        <f>+Meta!B15</f>
        <v xml:space="preserve">Return on Equity (ROE) </v>
      </c>
      <c r="D22" s="103"/>
      <c r="E22" s="108" t="s">
        <v>185</v>
      </c>
      <c r="F22" s="2"/>
      <c r="G22" s="117" t="s">
        <v>129</v>
      </c>
      <c r="H22" s="139">
        <v>0.125</v>
      </c>
      <c r="I22" s="156" t="str">
        <f>IFERROR('Eingabe Werte'!E13/'Eingabe Werte'!E31,"")</f>
        <v/>
      </c>
      <c r="J22" s="100" t="str">
        <f>+VLOOKUP($C22,Meta!$B$8:$J$15,9,FALSE)</f>
        <v>n/a</v>
      </c>
      <c r="K22" s="2"/>
      <c r="L22" s="128"/>
    </row>
    <row r="23" spans="2:12" x14ac:dyDescent="0.35">
      <c r="B23" s="103"/>
      <c r="C23" s="103"/>
      <c r="D23" s="103"/>
      <c r="E23" s="103"/>
      <c r="F23" s="2"/>
      <c r="G23" s="118"/>
      <c r="H23" s="140"/>
      <c r="I23" s="150"/>
      <c r="J23" s="133"/>
      <c r="K23" s="2"/>
      <c r="L23" s="118"/>
    </row>
    <row r="24" spans="2:12" x14ac:dyDescent="0.35">
      <c r="B24" s="103"/>
      <c r="C24" s="103"/>
      <c r="D24" s="103"/>
      <c r="E24" s="103"/>
      <c r="F24" s="2"/>
      <c r="G24" s="118"/>
      <c r="H24" s="141"/>
      <c r="I24" s="150"/>
      <c r="J24" s="132"/>
      <c r="K24" s="2"/>
      <c r="L24" s="118"/>
    </row>
    <row r="25" spans="2:12" x14ac:dyDescent="0.35">
      <c r="B25" s="109" t="s">
        <v>10</v>
      </c>
      <c r="C25" s="104"/>
      <c r="D25" s="104"/>
      <c r="E25" s="104"/>
      <c r="G25" s="119"/>
      <c r="H25" s="136"/>
      <c r="I25" s="151"/>
      <c r="J25" s="134"/>
      <c r="L25" s="119"/>
    </row>
    <row r="26" spans="2:12" ht="4.5" customHeight="1" x14ac:dyDescent="0.35">
      <c r="B26" s="104"/>
      <c r="C26" s="104"/>
      <c r="D26" s="104"/>
      <c r="E26" s="104"/>
      <c r="G26" s="119"/>
      <c r="H26" s="136"/>
      <c r="I26" s="146"/>
      <c r="J26" s="134"/>
      <c r="L26" s="119"/>
    </row>
    <row r="27" spans="2:12" x14ac:dyDescent="0.35">
      <c r="B27" s="184" t="s">
        <v>6</v>
      </c>
      <c r="C27" s="184"/>
      <c r="D27" s="104"/>
      <c r="E27" s="105" t="s">
        <v>4</v>
      </c>
      <c r="G27" s="120" t="s">
        <v>121</v>
      </c>
      <c r="H27" s="142" t="s">
        <v>122</v>
      </c>
      <c r="I27" s="152" t="s">
        <v>138</v>
      </c>
      <c r="J27" s="135" t="s">
        <v>128</v>
      </c>
      <c r="L27" s="120" t="s">
        <v>5</v>
      </c>
    </row>
    <row r="28" spans="2:12" x14ac:dyDescent="0.35">
      <c r="B28" s="182" t="s">
        <v>34</v>
      </c>
      <c r="C28" s="183"/>
      <c r="D28" s="103"/>
      <c r="E28" s="101"/>
      <c r="F28" s="2"/>
      <c r="G28" s="116"/>
      <c r="H28" s="138"/>
      <c r="I28" s="149"/>
      <c r="J28" s="102"/>
      <c r="K28" s="2"/>
      <c r="L28" s="116"/>
    </row>
    <row r="29" spans="2:12" x14ac:dyDescent="0.35">
      <c r="B29" s="108"/>
      <c r="C29" s="108" t="str">
        <f>+Meta!B17</f>
        <v>Eigenkapital-Quote</v>
      </c>
      <c r="D29" s="103"/>
      <c r="E29" s="108" t="s">
        <v>110</v>
      </c>
      <c r="F29" s="2"/>
      <c r="G29" s="117" t="s">
        <v>129</v>
      </c>
      <c r="H29" s="139">
        <v>0.25</v>
      </c>
      <c r="I29" s="156" t="str">
        <f>IFERROR('Eingabe Werte'!E31/'Eingabe Werte'!E42,"")</f>
        <v/>
      </c>
      <c r="J29" s="106" t="str">
        <f>+VLOOKUP($C29,Meta!$B$17:$J$20,9,FALSE)</f>
        <v>n/a</v>
      </c>
      <c r="K29" s="2"/>
      <c r="L29" s="127"/>
    </row>
    <row r="30" spans="2:12" x14ac:dyDescent="0.35">
      <c r="B30" s="108"/>
      <c r="C30" s="108" t="str">
        <f>+Meta!B18</f>
        <v>Wirt. Eigenkapital-Quote</v>
      </c>
      <c r="D30" s="103"/>
      <c r="E30" s="108" t="s">
        <v>111</v>
      </c>
      <c r="F30" s="2"/>
      <c r="G30" s="117" t="s">
        <v>129</v>
      </c>
      <c r="H30" s="139">
        <v>0.25</v>
      </c>
      <c r="I30" s="156" t="str">
        <f>IFERROR('Eingabe Werte'!E32/'Eingabe Werte'!E42,"")</f>
        <v/>
      </c>
      <c r="J30" s="106" t="str">
        <f>+VLOOKUP($C30,Meta!$B$17:$J$20,9,FALSE)</f>
        <v>n/a</v>
      </c>
      <c r="K30" s="2"/>
      <c r="L30" s="127"/>
    </row>
    <row r="31" spans="2:12" x14ac:dyDescent="0.35">
      <c r="B31" s="182" t="s">
        <v>35</v>
      </c>
      <c r="C31" s="183"/>
      <c r="D31" s="103"/>
      <c r="E31" s="101"/>
      <c r="F31" s="2"/>
      <c r="G31" s="121"/>
      <c r="H31" s="138"/>
      <c r="I31" s="149"/>
      <c r="J31" s="102"/>
      <c r="K31" s="2"/>
      <c r="L31" s="116"/>
    </row>
    <row r="32" spans="2:12" x14ac:dyDescent="0.35">
      <c r="B32" s="108"/>
      <c r="C32" s="108" t="str">
        <f>+Meta!B19</f>
        <v>Verschuldungsgrad</v>
      </c>
      <c r="D32" s="103"/>
      <c r="E32" s="108" t="s">
        <v>110</v>
      </c>
      <c r="F32" s="2"/>
      <c r="G32" s="117" t="s">
        <v>129</v>
      </c>
      <c r="H32" s="139">
        <v>0.25</v>
      </c>
      <c r="I32" s="160" t="str">
        <f>IFERROR('Eingabe Werte'!E31/'Eingabe Werte'!E37,"")</f>
        <v/>
      </c>
      <c r="J32" s="106" t="str">
        <f>+VLOOKUP($C32,Meta!$B$17:$J$20,9,FALSE)</f>
        <v>n/a</v>
      </c>
      <c r="K32" s="2"/>
      <c r="L32" s="127"/>
    </row>
    <row r="33" spans="2:12" x14ac:dyDescent="0.35">
      <c r="B33" s="182" t="s">
        <v>101</v>
      </c>
      <c r="C33" s="183"/>
      <c r="D33" s="103"/>
      <c r="E33" s="101"/>
      <c r="F33" s="2"/>
      <c r="G33" s="121"/>
      <c r="H33" s="138"/>
      <c r="I33" s="149"/>
      <c r="J33" s="102"/>
      <c r="K33" s="2"/>
      <c r="L33" s="116"/>
    </row>
    <row r="34" spans="2:12" x14ac:dyDescent="0.35">
      <c r="B34" s="108"/>
      <c r="C34" s="108" t="str">
        <f>+Meta!B20</f>
        <v>Eigenkapital absolut (&gt;&lt;0)</v>
      </c>
      <c r="D34" s="103"/>
      <c r="E34" s="108" t="s">
        <v>112</v>
      </c>
      <c r="F34" s="2"/>
      <c r="G34" s="117" t="s">
        <v>129</v>
      </c>
      <c r="H34" s="139">
        <v>0.25</v>
      </c>
      <c r="I34" s="100" t="str">
        <f>IF('Eingabe Werte'!E31="","",IFERROR(IF('Eingabe Werte'!E31&gt;0,1,0),""))</f>
        <v/>
      </c>
      <c r="J34" s="106" t="str">
        <f>+VLOOKUP($C34,Meta!$B$17:$J$20,9,FALSE)</f>
        <v>n/a</v>
      </c>
      <c r="K34" s="2"/>
      <c r="L34" s="127"/>
    </row>
    <row r="35" spans="2:12" x14ac:dyDescent="0.35">
      <c r="B35" s="103"/>
      <c r="C35" s="103"/>
      <c r="D35" s="103"/>
      <c r="E35" s="103"/>
      <c r="F35" s="2"/>
      <c r="G35" s="122"/>
      <c r="H35" s="141"/>
      <c r="I35" s="150"/>
      <c r="J35" s="132"/>
      <c r="K35" s="2"/>
      <c r="L35" s="118"/>
    </row>
    <row r="36" spans="2:12" x14ac:dyDescent="0.35">
      <c r="B36" s="103"/>
      <c r="C36" s="103"/>
      <c r="D36" s="103"/>
      <c r="E36" s="103"/>
      <c r="F36" s="2"/>
      <c r="G36" s="118"/>
      <c r="H36" s="141"/>
      <c r="I36" s="150"/>
      <c r="J36" s="132"/>
      <c r="K36" s="2"/>
      <c r="L36" s="118"/>
    </row>
    <row r="37" spans="2:12" x14ac:dyDescent="0.35">
      <c r="B37" s="103"/>
      <c r="C37" s="103"/>
      <c r="D37" s="103"/>
      <c r="E37" s="103"/>
      <c r="F37" s="2"/>
      <c r="G37" s="118"/>
      <c r="H37" s="141"/>
      <c r="I37" s="150"/>
      <c r="J37" s="132"/>
      <c r="K37" s="2"/>
      <c r="L37" s="118"/>
    </row>
    <row r="38" spans="2:12" x14ac:dyDescent="0.35">
      <c r="B38" s="109" t="s">
        <v>11</v>
      </c>
      <c r="C38" s="104"/>
      <c r="D38" s="104"/>
      <c r="E38" s="104"/>
      <c r="G38" s="119"/>
      <c r="H38" s="136"/>
      <c r="I38" s="151"/>
      <c r="J38" s="134"/>
      <c r="L38" s="119"/>
    </row>
    <row r="39" spans="2:12" ht="4.5" customHeight="1" x14ac:dyDescent="0.35">
      <c r="B39" s="104"/>
      <c r="C39" s="104"/>
      <c r="D39" s="104"/>
      <c r="E39" s="104"/>
      <c r="G39" s="119"/>
      <c r="H39" s="136"/>
      <c r="I39" s="146"/>
      <c r="J39" s="134"/>
      <c r="L39" s="119"/>
    </row>
    <row r="40" spans="2:12" x14ac:dyDescent="0.35">
      <c r="B40" s="184" t="s">
        <v>6</v>
      </c>
      <c r="C40" s="184"/>
      <c r="D40" s="104"/>
      <c r="E40" s="105" t="s">
        <v>4</v>
      </c>
      <c r="G40" s="120" t="s">
        <v>121</v>
      </c>
      <c r="H40" s="142" t="s">
        <v>122</v>
      </c>
      <c r="I40" s="152" t="s">
        <v>138</v>
      </c>
      <c r="J40" s="135" t="s">
        <v>128</v>
      </c>
      <c r="L40" s="120" t="s">
        <v>5</v>
      </c>
    </row>
    <row r="41" spans="2:12" x14ac:dyDescent="0.35">
      <c r="B41" s="182" t="s">
        <v>177</v>
      </c>
      <c r="C41" s="183"/>
      <c r="D41" s="103"/>
      <c r="E41" s="101"/>
      <c r="F41" s="2"/>
      <c r="G41" s="116"/>
      <c r="H41" s="138"/>
      <c r="I41" s="149"/>
      <c r="J41" s="102"/>
      <c r="K41" s="2"/>
      <c r="L41" s="116"/>
    </row>
    <row r="42" spans="2:12" ht="14.5" customHeight="1" x14ac:dyDescent="0.35">
      <c r="B42" s="108"/>
      <c r="C42" s="108" t="str">
        <f>+Meta!B22</f>
        <v xml:space="preserve">Cash Conversion Cycle </v>
      </c>
      <c r="D42" s="103"/>
      <c r="E42" s="108" t="str">
        <f>E43&amp;", "&amp;E44&amp;", "&amp;E45</f>
        <v>DSO, DPO, DIO</v>
      </c>
      <c r="F42" s="2"/>
      <c r="G42" s="117" t="s">
        <v>129</v>
      </c>
      <c r="H42" s="139">
        <v>0.25</v>
      </c>
      <c r="I42" s="100" t="str">
        <f>IFERROR(I43+I45-I44,"")</f>
        <v/>
      </c>
      <c r="J42" s="106" t="str">
        <f>+VLOOKUP($C42,Meta!$B$22:$J$25,9,FALSE)</f>
        <v>n/a</v>
      </c>
      <c r="K42" s="2"/>
      <c r="L42" s="127"/>
    </row>
    <row r="43" spans="2:12" ht="14.5" customHeight="1" x14ac:dyDescent="0.35">
      <c r="B43" s="108"/>
      <c r="C43" s="108" t="s">
        <v>258</v>
      </c>
      <c r="D43" s="103"/>
      <c r="E43" s="108" t="s">
        <v>32</v>
      </c>
      <c r="F43" s="2"/>
      <c r="G43" s="117" t="s">
        <v>129</v>
      </c>
      <c r="H43" s="139">
        <v>0.25</v>
      </c>
      <c r="I43" s="100" t="str">
        <f>IF('Eingabe Werte'!E47="","",IFERROR('Eingabe Werte'!E47,""))</f>
        <v/>
      </c>
      <c r="J43" s="106" t="str">
        <f>+VLOOKUP($C43,Meta!$B$22:$J$25,9,FALSE)</f>
        <v>n/a</v>
      </c>
      <c r="K43" s="2"/>
      <c r="L43" s="127"/>
    </row>
    <row r="44" spans="2:12" ht="14.5" customHeight="1" x14ac:dyDescent="0.35">
      <c r="B44" s="108"/>
      <c r="C44" s="108" t="s">
        <v>259</v>
      </c>
      <c r="D44" s="103"/>
      <c r="E44" s="108" t="s">
        <v>33</v>
      </c>
      <c r="F44" s="2"/>
      <c r="G44" s="117" t="s">
        <v>129</v>
      </c>
      <c r="H44" s="139">
        <v>0.25</v>
      </c>
      <c r="I44" s="100" t="str">
        <f>IF('Eingabe Werte'!E48="","",IFERROR('Eingabe Werte'!E48,""))</f>
        <v/>
      </c>
      <c r="J44" s="106" t="str">
        <f>+VLOOKUP($C44,Meta!$B$22:$J$25,9,FALSE)</f>
        <v>n/a</v>
      </c>
      <c r="K44" s="2"/>
      <c r="L44" s="127"/>
    </row>
    <row r="45" spans="2:12" ht="14.5" customHeight="1" x14ac:dyDescent="0.35">
      <c r="B45" s="108"/>
      <c r="C45" s="108" t="s">
        <v>260</v>
      </c>
      <c r="D45" s="103"/>
      <c r="E45" s="108" t="s">
        <v>99</v>
      </c>
      <c r="F45" s="2"/>
      <c r="G45" s="117" t="s">
        <v>129</v>
      </c>
      <c r="H45" s="139">
        <v>0.25</v>
      </c>
      <c r="I45" s="100" t="str">
        <f>IF('Eingabe Werte'!E46="","",IFERROR('Eingabe Werte'!E46,""))</f>
        <v/>
      </c>
      <c r="J45" s="106" t="str">
        <f>+VLOOKUP($C45,Meta!$B$22:$J$25,9,FALSE)</f>
        <v>n/a</v>
      </c>
      <c r="K45" s="2"/>
      <c r="L45" s="127"/>
    </row>
    <row r="46" spans="2:12" x14ac:dyDescent="0.35">
      <c r="B46" s="103"/>
      <c r="C46" s="103"/>
      <c r="D46" s="103"/>
      <c r="E46" s="103"/>
      <c r="F46" s="2"/>
      <c r="G46" s="122"/>
      <c r="H46" s="141"/>
      <c r="I46" s="150"/>
      <c r="J46" s="132"/>
      <c r="K46" s="2"/>
      <c r="L46" s="118"/>
    </row>
    <row r="47" spans="2:12" x14ac:dyDescent="0.35">
      <c r="B47" s="103"/>
      <c r="C47" s="103"/>
      <c r="D47" s="103"/>
      <c r="E47" s="103"/>
      <c r="F47" s="2"/>
      <c r="G47" s="118"/>
      <c r="H47" s="141"/>
      <c r="I47" s="150"/>
      <c r="J47" s="132"/>
      <c r="K47" s="2"/>
      <c r="L47" s="118"/>
    </row>
    <row r="48" spans="2:12" x14ac:dyDescent="0.35">
      <c r="B48" s="103"/>
      <c r="C48" s="103"/>
      <c r="D48" s="103"/>
      <c r="E48" s="103"/>
      <c r="F48" s="2"/>
      <c r="G48" s="118"/>
      <c r="H48" s="141"/>
      <c r="I48" s="150"/>
      <c r="J48" s="132"/>
      <c r="K48" s="2"/>
      <c r="L48" s="118"/>
    </row>
    <row r="49" spans="2:12" x14ac:dyDescent="0.35">
      <c r="B49" s="109" t="s">
        <v>12</v>
      </c>
      <c r="C49" s="104"/>
      <c r="D49" s="104"/>
      <c r="E49" s="104"/>
      <c r="G49" s="119"/>
      <c r="H49" s="136"/>
      <c r="I49" s="151"/>
      <c r="J49" s="134"/>
      <c r="L49" s="119"/>
    </row>
    <row r="50" spans="2:12" ht="4.5" customHeight="1" x14ac:dyDescent="0.35">
      <c r="B50" s="104"/>
      <c r="C50" s="104"/>
      <c r="D50" s="104"/>
      <c r="E50" s="104"/>
      <c r="G50" s="119"/>
      <c r="H50" s="136"/>
      <c r="I50" s="146"/>
      <c r="J50" s="134"/>
      <c r="L50" s="119"/>
    </row>
    <row r="51" spans="2:12" x14ac:dyDescent="0.35">
      <c r="B51" s="184" t="s">
        <v>6</v>
      </c>
      <c r="C51" s="184"/>
      <c r="D51" s="104"/>
      <c r="E51" s="105" t="s">
        <v>4</v>
      </c>
      <c r="G51" s="120" t="s">
        <v>121</v>
      </c>
      <c r="H51" s="142" t="s">
        <v>122</v>
      </c>
      <c r="I51" s="152" t="s">
        <v>138</v>
      </c>
      <c r="J51" s="135" t="s">
        <v>128</v>
      </c>
      <c r="L51" s="120" t="s">
        <v>5</v>
      </c>
    </row>
    <row r="52" spans="2:12" x14ac:dyDescent="0.35">
      <c r="B52" s="182" t="s">
        <v>29</v>
      </c>
      <c r="C52" s="183"/>
      <c r="D52" s="103"/>
      <c r="E52" s="101"/>
      <c r="F52" s="2"/>
      <c r="G52" s="116"/>
      <c r="H52" s="138"/>
      <c r="I52" s="149"/>
      <c r="J52" s="102"/>
      <c r="K52" s="2"/>
      <c r="L52" s="116"/>
    </row>
    <row r="53" spans="2:12" x14ac:dyDescent="0.35">
      <c r="B53" s="108"/>
      <c r="C53" s="108" t="str">
        <f>+Meta!B27</f>
        <v>Cash Ratio</v>
      </c>
      <c r="D53" s="103"/>
      <c r="E53" s="108" t="s">
        <v>113</v>
      </c>
      <c r="F53" s="2"/>
      <c r="G53" s="117" t="s">
        <v>129</v>
      </c>
      <c r="H53" s="139">
        <v>0.14285714285714285</v>
      </c>
      <c r="I53" s="160" t="str">
        <f>IFERROR('Eingabe Werte'!E38/('Eingabe Werte'!E24+'Eingabe Werte'!E26),"")</f>
        <v/>
      </c>
      <c r="J53" s="106" t="str">
        <f>+VLOOKUP($C53,Meta!$B$27:$J$33,9,FALSE)</f>
        <v>n/a</v>
      </c>
      <c r="K53" s="2"/>
      <c r="L53" s="127"/>
    </row>
    <row r="54" spans="2:12" x14ac:dyDescent="0.35">
      <c r="B54" s="182" t="s">
        <v>30</v>
      </c>
      <c r="C54" s="183"/>
      <c r="D54" s="103"/>
      <c r="E54" s="101"/>
      <c r="F54" s="2"/>
      <c r="G54" s="121"/>
      <c r="H54" s="143"/>
      <c r="I54" s="149"/>
      <c r="J54" s="102"/>
      <c r="K54" s="2"/>
      <c r="L54" s="116"/>
    </row>
    <row r="55" spans="2:12" ht="14.5" customHeight="1" x14ac:dyDescent="0.35">
      <c r="B55" s="108"/>
      <c r="C55" s="108" t="str">
        <f>+Meta!B28</f>
        <v>Quick Ratio</v>
      </c>
      <c r="D55" s="103"/>
      <c r="E55" s="108" t="s">
        <v>114</v>
      </c>
      <c r="F55" s="2"/>
      <c r="G55" s="117" t="s">
        <v>129</v>
      </c>
      <c r="H55" s="139">
        <v>0.14285714285714285</v>
      </c>
      <c r="I55" s="160" t="str">
        <f>IFERROR(('Eingabe Werte'!E38+'Eingabe Werte'!E25)/('Eingabe Werte'!E24+'Eingabe Werte'!E26),"")</f>
        <v/>
      </c>
      <c r="J55" s="106" t="str">
        <f>+VLOOKUP($C55,Meta!$B$27:$J$33,9,FALSE)</f>
        <v>n/a</v>
      </c>
      <c r="K55" s="2"/>
      <c r="L55" s="127"/>
    </row>
    <row r="56" spans="2:12" x14ac:dyDescent="0.35">
      <c r="B56" s="182" t="s">
        <v>48</v>
      </c>
      <c r="C56" s="183"/>
      <c r="D56" s="103"/>
      <c r="E56" s="101"/>
      <c r="F56" s="2"/>
      <c r="G56" s="121"/>
      <c r="H56" s="143"/>
      <c r="I56" s="149"/>
      <c r="J56" s="102"/>
      <c r="K56" s="2"/>
      <c r="L56" s="116"/>
    </row>
    <row r="57" spans="2:12" x14ac:dyDescent="0.35">
      <c r="B57" s="108"/>
      <c r="C57" s="108" t="str">
        <f>+Meta!B29</f>
        <v>Cash Conversion</v>
      </c>
      <c r="D57" s="103"/>
      <c r="E57" s="108" t="s">
        <v>190</v>
      </c>
      <c r="F57" s="2"/>
      <c r="G57" s="117" t="s">
        <v>129</v>
      </c>
      <c r="H57" s="139">
        <v>0.14285714285714285</v>
      </c>
      <c r="I57" s="160" t="str">
        <f>IF(AND('Eingabe Werte'!E53="",'Eingabe Werte'!E54=""),"",IFERROR(('Eingabe Werte'!E53+'Eingabe Werte'!E54)/'Eingabe Werte'!E9,""))</f>
        <v/>
      </c>
      <c r="J57" s="106" t="str">
        <f>+VLOOKUP($C57,Meta!$B$27:$J$33,9,FALSE)</f>
        <v>n/a</v>
      </c>
      <c r="K57" s="2"/>
      <c r="L57" s="127"/>
    </row>
    <row r="58" spans="2:12" x14ac:dyDescent="0.35">
      <c r="B58" s="182" t="s">
        <v>49</v>
      </c>
      <c r="C58" s="183"/>
      <c r="D58" s="103"/>
      <c r="E58" s="101"/>
      <c r="F58" s="2"/>
      <c r="G58" s="121"/>
      <c r="H58" s="143"/>
      <c r="I58" s="149"/>
      <c r="J58" s="102"/>
      <c r="K58" s="2"/>
      <c r="L58" s="116"/>
    </row>
    <row r="59" spans="2:12" x14ac:dyDescent="0.35">
      <c r="B59" s="108"/>
      <c r="C59" s="108" t="str">
        <f>+Meta!B30</f>
        <v>Net Working Capital-Intensität</v>
      </c>
      <c r="D59" s="103"/>
      <c r="E59" s="108" t="s">
        <v>115</v>
      </c>
      <c r="F59" s="2"/>
      <c r="G59" s="117" t="s">
        <v>129</v>
      </c>
      <c r="H59" s="139">
        <v>0.14285714285714285</v>
      </c>
      <c r="I59" s="100" t="str">
        <f>IF(AND('Eingabe Werte'!E23="",'Eingabe Werte'!E25="",'Eingabe Werte'!E27="",'Eingabe Werte'!E24="",'Eingabe Werte'!E26=""),"",IFERROR(('Eingabe Werte'!E23+'Eingabe Werte'!E25+'Eingabe Werte'!E27-'Eingabe Werte'!E24-'Eingabe Werte'!E26)/'Eingabe Werte'!E9,""))</f>
        <v/>
      </c>
      <c r="J59" s="106" t="str">
        <f>+VLOOKUP($C59,Meta!$B$27:$J$33,9,FALSE)</f>
        <v>n/a</v>
      </c>
      <c r="K59" s="2"/>
      <c r="L59" s="127"/>
    </row>
    <row r="60" spans="2:12" x14ac:dyDescent="0.35">
      <c r="B60" s="182" t="s">
        <v>51</v>
      </c>
      <c r="C60" s="183"/>
      <c r="D60" s="103"/>
      <c r="E60" s="101"/>
      <c r="F60" s="2"/>
      <c r="G60" s="121"/>
      <c r="H60" s="143"/>
      <c r="I60" s="149"/>
      <c r="J60" s="102"/>
      <c r="K60" s="2"/>
      <c r="L60" s="116"/>
    </row>
    <row r="61" spans="2:12" x14ac:dyDescent="0.35">
      <c r="B61" s="108"/>
      <c r="C61" s="108" t="str">
        <f>+Meta!B31</f>
        <v>Operativer Cash Flow</v>
      </c>
      <c r="D61" s="103"/>
      <c r="E61" s="108" t="s">
        <v>103</v>
      </c>
      <c r="F61" s="2"/>
      <c r="G61" s="117" t="s">
        <v>129</v>
      </c>
      <c r="H61" s="139">
        <v>0.14285714285714285</v>
      </c>
      <c r="I61" s="100" t="str">
        <f>IF('Eingabe Werte'!E53="","",IFERROR(IF('Eingabe Werte'!E53&gt;0,1,0),""))</f>
        <v/>
      </c>
      <c r="J61" s="106" t="str">
        <f>+VLOOKUP($C61,Meta!$B$27:$J$33,9,FALSE)</f>
        <v>n/a</v>
      </c>
      <c r="K61" s="2"/>
      <c r="L61" s="127"/>
    </row>
    <row r="62" spans="2:12" x14ac:dyDescent="0.35">
      <c r="B62" s="182" t="s">
        <v>42</v>
      </c>
      <c r="C62" s="183"/>
      <c r="D62" s="103"/>
      <c r="E62" s="101"/>
      <c r="F62" s="2"/>
      <c r="G62" s="121"/>
      <c r="H62" s="143"/>
      <c r="I62" s="149"/>
      <c r="J62" s="102"/>
      <c r="K62" s="2"/>
      <c r="L62" s="116"/>
    </row>
    <row r="63" spans="2:12" x14ac:dyDescent="0.35">
      <c r="B63" s="108"/>
      <c r="C63" s="108" t="str">
        <f>+Meta!B32</f>
        <v>Free Cash Flow</v>
      </c>
      <c r="D63" s="103"/>
      <c r="E63" s="108" t="s">
        <v>42</v>
      </c>
      <c r="F63" s="2"/>
      <c r="G63" s="117" t="s">
        <v>129</v>
      </c>
      <c r="H63" s="139">
        <v>0.14285714285714285</v>
      </c>
      <c r="I63" s="100" t="str">
        <f>IF(OR('Eingabe Werte'!E53="",'Eingabe Werte'!E54=""),"",IFERROR(IF(('Eingabe Werte'!E53+'Eingabe Werte'!E54)&gt;0,1,0),""))</f>
        <v/>
      </c>
      <c r="J63" s="106" t="str">
        <f>+VLOOKUP($C63,Meta!$B$27:$J$33,9,FALSE)</f>
        <v>n/a</v>
      </c>
      <c r="K63" s="2"/>
      <c r="L63" s="127"/>
    </row>
    <row r="64" spans="2:12" x14ac:dyDescent="0.35">
      <c r="B64" s="182" t="s">
        <v>50</v>
      </c>
      <c r="C64" s="183"/>
      <c r="D64" s="103"/>
      <c r="E64" s="101"/>
      <c r="F64" s="2"/>
      <c r="G64" s="121"/>
      <c r="H64" s="143"/>
      <c r="I64" s="149"/>
      <c r="J64" s="102"/>
      <c r="K64" s="2"/>
      <c r="L64" s="116"/>
    </row>
    <row r="65" spans="2:12" x14ac:dyDescent="0.35">
      <c r="B65" s="108"/>
      <c r="C65" s="108" t="str">
        <f>+Meta!B33</f>
        <v>Net Cash Flow</v>
      </c>
      <c r="D65" s="103"/>
      <c r="E65" s="108" t="s">
        <v>50</v>
      </c>
      <c r="F65" s="2"/>
      <c r="G65" s="117" t="s">
        <v>129</v>
      </c>
      <c r="H65" s="139">
        <v>0.14285714285714285</v>
      </c>
      <c r="I65" s="100" t="str">
        <f>IF(OR('Eingabe Werte'!H520="",'Eingabe Werte'!E54="",'Eingabe Werte'!E55=""),"",IFERROR(IF(('Eingabe Werte'!E53+'Eingabe Werte'!E54+'Eingabe Werte'!E55)&gt;0,1,0),""))</f>
        <v/>
      </c>
      <c r="J65" s="106" t="str">
        <f>+VLOOKUP($C65,Meta!$B$27:$J$33,9,FALSE)</f>
        <v>n/a</v>
      </c>
      <c r="K65" s="2"/>
      <c r="L65" s="127"/>
    </row>
    <row r="66" spans="2:12" x14ac:dyDescent="0.35">
      <c r="B66" s="103"/>
      <c r="C66" s="103"/>
      <c r="D66" s="103"/>
      <c r="E66" s="103"/>
      <c r="F66" s="2"/>
      <c r="G66" s="122"/>
      <c r="H66" s="141"/>
      <c r="I66" s="150"/>
      <c r="J66" s="132"/>
      <c r="K66" s="2"/>
      <c r="L66" s="118"/>
    </row>
    <row r="67" spans="2:12" x14ac:dyDescent="0.35">
      <c r="B67" s="103"/>
      <c r="C67" s="103"/>
      <c r="D67" s="103"/>
      <c r="E67" s="103"/>
      <c r="F67" s="2"/>
      <c r="G67" s="118"/>
      <c r="H67" s="141"/>
      <c r="I67" s="150"/>
      <c r="J67" s="132"/>
      <c r="K67" s="2"/>
      <c r="L67" s="118"/>
    </row>
    <row r="68" spans="2:12" x14ac:dyDescent="0.35">
      <c r="B68" s="103"/>
      <c r="C68" s="103"/>
      <c r="D68" s="103"/>
      <c r="E68" s="103"/>
      <c r="F68" s="2"/>
      <c r="G68" s="118"/>
      <c r="H68" s="141"/>
      <c r="I68" s="150"/>
      <c r="J68" s="132"/>
      <c r="K68" s="2"/>
      <c r="L68" s="118"/>
    </row>
    <row r="69" spans="2:12" x14ac:dyDescent="0.35">
      <c r="B69" s="109" t="s">
        <v>18</v>
      </c>
      <c r="C69" s="104"/>
      <c r="D69" s="104"/>
      <c r="E69" s="104"/>
      <c r="G69" s="119"/>
      <c r="H69" s="136"/>
      <c r="I69" s="151"/>
      <c r="J69" s="134"/>
      <c r="L69" s="119"/>
    </row>
    <row r="70" spans="2:12" ht="4.5" customHeight="1" x14ac:dyDescent="0.35">
      <c r="B70" s="104"/>
      <c r="C70" s="104"/>
      <c r="D70" s="104"/>
      <c r="E70" s="104"/>
      <c r="G70" s="119"/>
      <c r="H70" s="136"/>
      <c r="I70" s="146"/>
      <c r="J70" s="134"/>
      <c r="L70" s="119"/>
    </row>
    <row r="71" spans="2:12" x14ac:dyDescent="0.35">
      <c r="B71" s="184" t="s">
        <v>6</v>
      </c>
      <c r="C71" s="184"/>
      <c r="D71" s="104"/>
      <c r="E71" s="105" t="s">
        <v>4</v>
      </c>
      <c r="G71" s="120" t="s">
        <v>121</v>
      </c>
      <c r="H71" s="142" t="s">
        <v>122</v>
      </c>
      <c r="I71" s="152" t="s">
        <v>138</v>
      </c>
      <c r="J71" s="135" t="s">
        <v>128</v>
      </c>
      <c r="L71" s="120" t="s">
        <v>5</v>
      </c>
    </row>
    <row r="72" spans="2:12" x14ac:dyDescent="0.35">
      <c r="B72" s="182" t="s">
        <v>69</v>
      </c>
      <c r="C72" s="183"/>
      <c r="D72" s="103"/>
      <c r="E72" s="101"/>
      <c r="F72" s="2"/>
      <c r="G72" s="116"/>
      <c r="H72" s="138"/>
      <c r="I72" s="149"/>
      <c r="J72" s="102"/>
      <c r="K72" s="2"/>
      <c r="L72" s="116"/>
    </row>
    <row r="73" spans="2:12" x14ac:dyDescent="0.35">
      <c r="B73" s="108"/>
      <c r="C73" s="108" t="str">
        <f>+Meta!B35</f>
        <v>Covenant Compliance in den letzten 12 Monaten</v>
      </c>
      <c r="D73" s="103"/>
      <c r="E73" s="108" t="s">
        <v>109</v>
      </c>
      <c r="F73" s="2"/>
      <c r="G73" s="117" t="s">
        <v>129</v>
      </c>
      <c r="H73" s="139">
        <f>1/10</f>
        <v>0.1</v>
      </c>
      <c r="I73" s="100" t="str">
        <f>IFERROR(IF('Eingabe Werte'!D66="Ja",1,IF('Eingabe Werte'!D66="Nein",0,"")),"")</f>
        <v/>
      </c>
      <c r="J73" s="106" t="str">
        <f>+VLOOKUP($C73,Meta!$B$35:$J$44,9,FALSE)</f>
        <v>n/a</v>
      </c>
      <c r="K73" s="2"/>
      <c r="L73" s="127"/>
    </row>
    <row r="74" spans="2:12" x14ac:dyDescent="0.35">
      <c r="B74" s="182" t="s">
        <v>70</v>
      </c>
      <c r="C74" s="183"/>
      <c r="D74" s="103"/>
      <c r="E74" s="101"/>
      <c r="F74" s="2"/>
      <c r="G74" s="121"/>
      <c r="H74" s="138"/>
      <c r="I74" s="149"/>
      <c r="J74" s="102"/>
      <c r="K74" s="2"/>
      <c r="L74" s="116"/>
    </row>
    <row r="75" spans="2:12" ht="29" x14ac:dyDescent="0.35">
      <c r="B75" s="110"/>
      <c r="C75" s="111" t="str">
        <f>+Meta!B36</f>
        <v>(Materielle) Waiver-Anträge in den letzten 12 Monaten?</v>
      </c>
      <c r="D75" s="103"/>
      <c r="E75" s="108" t="s">
        <v>109</v>
      </c>
      <c r="F75" s="2"/>
      <c r="G75" s="117" t="s">
        <v>129</v>
      </c>
      <c r="H75" s="139">
        <f>1/10</f>
        <v>0.1</v>
      </c>
      <c r="I75" s="100" t="str">
        <f>IFERROR(IF('Eingabe Werte'!D67="Ja",1,IF('Eingabe Werte'!D67="Nein",0,"")),"")</f>
        <v/>
      </c>
      <c r="J75" s="106" t="str">
        <f>+VLOOKUP($C75,Meta!$B$35:$J$44,9,FALSE)</f>
        <v>n/a</v>
      </c>
      <c r="K75" s="2"/>
      <c r="L75" s="127"/>
    </row>
    <row r="76" spans="2:12" x14ac:dyDescent="0.35">
      <c r="B76" s="182" t="s">
        <v>38</v>
      </c>
      <c r="C76" s="183"/>
      <c r="D76" s="103"/>
      <c r="E76" s="101"/>
      <c r="F76" s="2"/>
      <c r="G76" s="121"/>
      <c r="H76" s="138"/>
      <c r="I76" s="149"/>
      <c r="J76" s="102"/>
      <c r="K76" s="2"/>
      <c r="L76" s="116"/>
    </row>
    <row r="77" spans="2:12" x14ac:dyDescent="0.35">
      <c r="B77" s="108"/>
      <c r="C77" s="108" t="str">
        <f>+Meta!B37</f>
        <v>Prolongationen in den nächsten 12 Monaten</v>
      </c>
      <c r="D77" s="103"/>
      <c r="E77" s="108" t="s">
        <v>109</v>
      </c>
      <c r="F77" s="2"/>
      <c r="G77" s="117" t="s">
        <v>129</v>
      </c>
      <c r="H77" s="139">
        <f>1/10</f>
        <v>0.1</v>
      </c>
      <c r="I77" s="100" t="str">
        <f>IFERROR(IF('Eingabe Werte'!D68="Ja",1,IF('Eingabe Werte'!D68="Nein",0,"")),"")</f>
        <v/>
      </c>
      <c r="J77" s="106" t="str">
        <f>+VLOOKUP($C77,Meta!$B$35:$J$44,9,FALSE)</f>
        <v>n/a</v>
      </c>
      <c r="K77" s="2"/>
      <c r="L77" s="127"/>
    </row>
    <row r="78" spans="2:12" ht="14.5" customHeight="1" x14ac:dyDescent="0.35">
      <c r="B78" s="182" t="s">
        <v>39</v>
      </c>
      <c r="C78" s="183"/>
      <c r="D78" s="103"/>
      <c r="E78" s="101"/>
      <c r="F78" s="2"/>
      <c r="G78" s="121"/>
      <c r="H78" s="138"/>
      <c r="I78" s="149"/>
      <c r="J78" s="102"/>
      <c r="K78" s="2"/>
      <c r="L78" s="116"/>
    </row>
    <row r="79" spans="2:12" x14ac:dyDescent="0.35">
      <c r="B79" s="108"/>
      <c r="C79" s="108" t="str">
        <f>+Meta!B38</f>
        <v>Refinanzierungen in den nächsten 12 Monaten</v>
      </c>
      <c r="D79" s="103"/>
      <c r="E79" s="108" t="s">
        <v>109</v>
      </c>
      <c r="F79" s="2"/>
      <c r="G79" s="117" t="s">
        <v>129</v>
      </c>
      <c r="H79" s="139">
        <f>1/10</f>
        <v>0.1</v>
      </c>
      <c r="I79" s="100" t="str">
        <f>IFERROR(IF('Eingabe Werte'!D69="Ja",1,IF('Eingabe Werte'!D69="Nein",0,"")),"")</f>
        <v/>
      </c>
      <c r="J79" s="106" t="str">
        <f>+VLOOKUP($C79,Meta!$B$35:$J$44,9,FALSE)</f>
        <v>n/a</v>
      </c>
      <c r="K79" s="2"/>
      <c r="L79" s="127"/>
    </row>
    <row r="80" spans="2:12" x14ac:dyDescent="0.35">
      <c r="B80" s="182" t="s">
        <v>40</v>
      </c>
      <c r="C80" s="183"/>
      <c r="D80" s="103"/>
      <c r="E80" s="101"/>
      <c r="F80" s="2"/>
      <c r="G80" s="121"/>
      <c r="H80" s="138"/>
      <c r="I80" s="149"/>
      <c r="J80" s="102"/>
      <c r="K80" s="2"/>
      <c r="L80" s="116"/>
    </row>
    <row r="81" spans="2:12" x14ac:dyDescent="0.35">
      <c r="B81" s="108"/>
      <c r="C81" s="108" t="str">
        <f>+Meta!B39</f>
        <v>Intensivkreditbetreuung einer Bank involviert?</v>
      </c>
      <c r="D81" s="103"/>
      <c r="E81" s="108" t="s">
        <v>109</v>
      </c>
      <c r="F81" s="2"/>
      <c r="G81" s="117" t="s">
        <v>129</v>
      </c>
      <c r="H81" s="139">
        <f>1/10</f>
        <v>0.1</v>
      </c>
      <c r="I81" s="100" t="str">
        <f>IFERROR(IF('Eingabe Werte'!D70="Ja",1,IF('Eingabe Werte'!D70="Nein",0,"")),"")</f>
        <v/>
      </c>
      <c r="J81" s="106" t="str">
        <f>+VLOOKUP($C81,Meta!$B$35:$J$44,9,FALSE)</f>
        <v>n/a</v>
      </c>
      <c r="K81" s="2"/>
      <c r="L81" s="127"/>
    </row>
    <row r="82" spans="2:12" x14ac:dyDescent="0.35">
      <c r="B82" s="182" t="s">
        <v>37</v>
      </c>
      <c r="C82" s="183"/>
      <c r="D82" s="103"/>
      <c r="E82" s="101"/>
      <c r="F82" s="2"/>
      <c r="G82" s="121"/>
      <c r="H82" s="138"/>
      <c r="I82" s="149"/>
      <c r="J82" s="102"/>
      <c r="K82" s="2"/>
      <c r="L82" s="116"/>
    </row>
    <row r="83" spans="2:12" x14ac:dyDescent="0.35">
      <c r="B83" s="108"/>
      <c r="C83" s="108" t="str">
        <f>+Meta!B40</f>
        <v>Netto-Verschuldungsgrad</v>
      </c>
      <c r="D83" s="103"/>
      <c r="E83" s="108" t="s">
        <v>52</v>
      </c>
      <c r="F83" s="2"/>
      <c r="G83" s="117" t="s">
        <v>129</v>
      </c>
      <c r="H83" s="139">
        <f>1/10</f>
        <v>0.1</v>
      </c>
      <c r="I83" s="100" t="str">
        <f>IFERROR(('Eingabe Werte'!E37-'Eingabe Werte'!E38)/'Eingabe Werte'!E11,"")</f>
        <v/>
      </c>
      <c r="J83" s="106" t="str">
        <f>+VLOOKUP($C83,Meta!$B$35:$J$44,9,FALSE)</f>
        <v>n/a</v>
      </c>
      <c r="K83" s="2"/>
      <c r="L83" s="127"/>
    </row>
    <row r="84" spans="2:12" x14ac:dyDescent="0.35">
      <c r="B84" s="182" t="s">
        <v>43</v>
      </c>
      <c r="C84" s="183"/>
      <c r="D84" s="103"/>
      <c r="E84" s="101"/>
      <c r="F84" s="2"/>
      <c r="G84" s="121"/>
      <c r="H84" s="138"/>
      <c r="I84" s="149"/>
      <c r="J84" s="102"/>
      <c r="K84" s="2"/>
      <c r="L84" s="116"/>
    </row>
    <row r="85" spans="2:12" x14ac:dyDescent="0.35">
      <c r="B85" s="108"/>
      <c r="C85" s="108" t="str">
        <f>+Meta!B41</f>
        <v>Integrierte Unternehmensplanung</v>
      </c>
      <c r="D85" s="103"/>
      <c r="E85" s="108" t="s">
        <v>109</v>
      </c>
      <c r="F85" s="2"/>
      <c r="G85" s="117" t="s">
        <v>129</v>
      </c>
      <c r="H85" s="139">
        <f>1/10</f>
        <v>0.1</v>
      </c>
      <c r="I85" s="100" t="str">
        <f>IFERROR(IF('Eingabe Werte'!D75="Ja",1,IF('Eingabe Werte'!D75="Nein",0,"")),"")</f>
        <v/>
      </c>
      <c r="J85" s="106" t="str">
        <f>+VLOOKUP($C85,Meta!$B$35:$J$44,9,FALSE)</f>
        <v>n/a</v>
      </c>
      <c r="K85" s="2"/>
      <c r="L85" s="127"/>
    </row>
    <row r="86" spans="2:12" x14ac:dyDescent="0.35">
      <c r="B86" s="108"/>
      <c r="C86" s="108" t="str">
        <f>+Meta!B42</f>
        <v>Planung für die nächsten mind. 2 Geschäftsjahre</v>
      </c>
      <c r="D86" s="103"/>
      <c r="E86" s="108" t="s">
        <v>109</v>
      </c>
      <c r="F86" s="2"/>
      <c r="G86" s="117" t="s">
        <v>129</v>
      </c>
      <c r="H86" s="139">
        <f>1/10</f>
        <v>0.1</v>
      </c>
      <c r="I86" s="100" t="str">
        <f>IFERROR(IF('Eingabe Werte'!D76="Ja",1,IF('Eingabe Werte'!D76="Nein",0,"")),"")</f>
        <v/>
      </c>
      <c r="J86" s="106" t="str">
        <f>+VLOOKUP($C86,Meta!$B$35:$J$44,9,FALSE)</f>
        <v>n/a</v>
      </c>
      <c r="K86" s="2"/>
      <c r="L86" s="127"/>
    </row>
    <row r="87" spans="2:12" x14ac:dyDescent="0.35">
      <c r="B87" s="108"/>
      <c r="C87" s="108" t="str">
        <f>+Meta!B43</f>
        <v>Planung erfolgt auf Monatsbasis?</v>
      </c>
      <c r="D87" s="103"/>
      <c r="E87" s="108" t="s">
        <v>109</v>
      </c>
      <c r="F87" s="2"/>
      <c r="G87" s="117" t="s">
        <v>129</v>
      </c>
      <c r="H87" s="139">
        <f>1/10</f>
        <v>0.1</v>
      </c>
      <c r="I87" s="100" t="str">
        <f>IFERROR(IF('Eingabe Werte'!D77="Ja",1,IF('Eingabe Werte'!D77="Nein",0,"")),"")</f>
        <v/>
      </c>
      <c r="J87" s="106" t="str">
        <f>+VLOOKUP($C87,Meta!$B$35:$J$44,9,FALSE)</f>
        <v>n/a</v>
      </c>
      <c r="K87" s="2"/>
      <c r="L87" s="127"/>
    </row>
    <row r="88" spans="2:12" x14ac:dyDescent="0.35">
      <c r="B88" s="182" t="s">
        <v>41</v>
      </c>
      <c r="C88" s="183"/>
      <c r="D88" s="103"/>
      <c r="E88" s="101"/>
      <c r="F88" s="2"/>
      <c r="G88" s="121"/>
      <c r="H88" s="138"/>
      <c r="I88" s="149"/>
      <c r="J88" s="102"/>
      <c r="K88" s="2"/>
      <c r="L88" s="116"/>
    </row>
    <row r="89" spans="2:12" x14ac:dyDescent="0.35">
      <c r="B89" s="108"/>
      <c r="C89" s="108" t="str">
        <f>+Meta!B44</f>
        <v>Interest Coverage Ratio</v>
      </c>
      <c r="D89" s="103"/>
      <c r="E89" s="108" t="s">
        <v>116</v>
      </c>
      <c r="F89" s="2"/>
      <c r="G89" s="117" t="s">
        <v>129</v>
      </c>
      <c r="H89" s="139">
        <f>1/10</f>
        <v>0.1</v>
      </c>
      <c r="I89" s="160" t="str">
        <f>IFERROR('Eingabe Werte'!E12/'Eingabe Werte'!E16,"")</f>
        <v/>
      </c>
      <c r="J89" s="106" t="str">
        <f>+VLOOKUP($C89,Meta!$B$35:$J$44,9,FALSE)</f>
        <v>n/a</v>
      </c>
      <c r="K89" s="2"/>
      <c r="L89" s="127"/>
    </row>
    <row r="90" spans="2:12" x14ac:dyDescent="0.35">
      <c r="B90" s="103"/>
      <c r="C90" s="103"/>
      <c r="D90" s="103"/>
      <c r="E90" s="103"/>
      <c r="F90" s="2"/>
      <c r="G90" s="118"/>
      <c r="H90" s="141"/>
      <c r="I90" s="150"/>
      <c r="J90" s="132"/>
      <c r="K90" s="2"/>
      <c r="L90" s="118"/>
    </row>
    <row r="91" spans="2:12" x14ac:dyDescent="0.35">
      <c r="B91" s="103"/>
      <c r="C91" s="103"/>
      <c r="D91" s="103"/>
      <c r="E91" s="103"/>
      <c r="F91" s="2"/>
      <c r="G91" s="118"/>
      <c r="H91" s="141"/>
      <c r="I91" s="150"/>
      <c r="J91" s="132"/>
      <c r="K91" s="2"/>
      <c r="L91" s="118"/>
    </row>
    <row r="92" spans="2:12" x14ac:dyDescent="0.35">
      <c r="B92" s="103"/>
      <c r="C92" s="103"/>
      <c r="D92" s="103"/>
      <c r="E92" s="103"/>
      <c r="F92" s="2"/>
      <c r="G92" s="118"/>
      <c r="H92" s="141"/>
      <c r="I92" s="150"/>
      <c r="J92" s="132"/>
      <c r="K92" s="2"/>
      <c r="L92" s="118"/>
    </row>
    <row r="93" spans="2:12" x14ac:dyDescent="0.35">
      <c r="B93" s="109" t="s">
        <v>13</v>
      </c>
      <c r="C93" s="104"/>
      <c r="D93" s="104"/>
      <c r="E93" s="104"/>
      <c r="G93" s="119"/>
      <c r="H93" s="136"/>
      <c r="I93" s="151"/>
      <c r="J93" s="134"/>
      <c r="L93" s="119"/>
    </row>
    <row r="94" spans="2:12" ht="4.5" customHeight="1" x14ac:dyDescent="0.35">
      <c r="B94" s="104"/>
      <c r="C94" s="104"/>
      <c r="D94" s="104"/>
      <c r="E94" s="104"/>
      <c r="G94" s="119"/>
      <c r="H94" s="136"/>
      <c r="I94" s="146"/>
      <c r="J94" s="134"/>
      <c r="L94" s="119"/>
    </row>
    <row r="95" spans="2:12" x14ac:dyDescent="0.35">
      <c r="B95" s="184" t="s">
        <v>6</v>
      </c>
      <c r="C95" s="184"/>
      <c r="D95" s="104"/>
      <c r="E95" s="105" t="s">
        <v>4</v>
      </c>
      <c r="G95" s="120" t="s">
        <v>121</v>
      </c>
      <c r="H95" s="142" t="s">
        <v>122</v>
      </c>
      <c r="I95" s="152" t="s">
        <v>138</v>
      </c>
      <c r="J95" s="135" t="s">
        <v>128</v>
      </c>
      <c r="L95" s="120" t="s">
        <v>5</v>
      </c>
    </row>
    <row r="96" spans="2:12" x14ac:dyDescent="0.35">
      <c r="B96" s="182" t="s">
        <v>53</v>
      </c>
      <c r="C96" s="183"/>
      <c r="D96" s="103"/>
      <c r="E96" s="101"/>
      <c r="F96" s="2"/>
      <c r="G96" s="116"/>
      <c r="H96" s="138"/>
      <c r="I96" s="149"/>
      <c r="J96" s="102"/>
      <c r="K96" s="2"/>
      <c r="L96" s="116"/>
    </row>
    <row r="97" spans="2:12" x14ac:dyDescent="0.35">
      <c r="B97" s="108"/>
      <c r="C97" s="108" t="str">
        <f>+Meta!B46</f>
        <v>1. Führungsebene</v>
      </c>
      <c r="D97" s="103"/>
      <c r="E97" s="108" t="s">
        <v>144</v>
      </c>
      <c r="F97" s="2"/>
      <c r="G97" s="117" t="s">
        <v>129</v>
      </c>
      <c r="H97" s="139">
        <v>0.1</v>
      </c>
      <c r="I97" s="100" t="str">
        <f>IF('Eingabe Werte'!D82=Liste!$H$4,1,IF('Eingabe Werte'!D82=Liste!$H$5,2,IF('Eingabe Werte'!D82=Liste!$H$6,3,IF('Eingabe Werte'!D82=Liste!$H$7,4,IF('Eingabe Werte'!D82=Liste!$H$8,5,"")))))</f>
        <v/>
      </c>
      <c r="J97" s="106" t="str">
        <f>+VLOOKUP($C97,Meta!$B$46:$J$55,9,FALSE)</f>
        <v>n/a</v>
      </c>
      <c r="K97" s="2"/>
      <c r="L97" s="127"/>
    </row>
    <row r="98" spans="2:12" x14ac:dyDescent="0.35">
      <c r="B98" s="108"/>
      <c r="C98" s="108" t="str">
        <f>+Meta!B47</f>
        <v>2. Führungsebene</v>
      </c>
      <c r="D98" s="103"/>
      <c r="E98" s="108" t="s">
        <v>144</v>
      </c>
      <c r="F98" s="2"/>
      <c r="G98" s="117" t="s">
        <v>129</v>
      </c>
      <c r="H98" s="139">
        <v>0.1</v>
      </c>
      <c r="I98" s="100" t="str">
        <f>IF('Eingabe Werte'!D83=Liste!$H$4,1,IF('Eingabe Werte'!D83=Liste!$H$5,2,IF('Eingabe Werte'!D83=Liste!$H$6,3,IF('Eingabe Werte'!D83=Liste!$H$7,4,IF('Eingabe Werte'!D83=Liste!$H$8,5,"")))))</f>
        <v/>
      </c>
      <c r="J98" s="106" t="str">
        <f>+VLOOKUP($C98,Meta!$B$46:$J$55,9,FALSE)</f>
        <v>n/a</v>
      </c>
      <c r="K98" s="2"/>
      <c r="L98" s="127"/>
    </row>
    <row r="99" spans="2:12" x14ac:dyDescent="0.35">
      <c r="B99" s="182" t="s">
        <v>64</v>
      </c>
      <c r="C99" s="183"/>
      <c r="D99" s="103"/>
      <c r="E99" s="101"/>
      <c r="F99" s="2"/>
      <c r="G99" s="121"/>
      <c r="H99" s="138"/>
      <c r="I99" s="149"/>
      <c r="J99" s="102"/>
      <c r="K99" s="2"/>
      <c r="L99" s="116"/>
    </row>
    <row r="100" spans="2:12" x14ac:dyDescent="0.35">
      <c r="B100" s="108"/>
      <c r="C100" s="108" t="str">
        <f>+Meta!B48</f>
        <v>Preis</v>
      </c>
      <c r="D100" s="103"/>
      <c r="E100" s="108" t="s">
        <v>146</v>
      </c>
      <c r="F100" s="2"/>
      <c r="G100" s="117" t="s">
        <v>129</v>
      </c>
      <c r="H100" s="139">
        <v>0.1</v>
      </c>
      <c r="I100" s="100" t="str">
        <f>IF('Eingabe Werte'!D88=Liste!$I$4,1,IF('Eingabe Werte'!D88=Liste!$I$5,2,IF('Eingabe Werte'!D88=Liste!$I$6,3,IF('Eingabe Werte'!D88=Liste!$I$7,4,IF('Eingabe Werte'!D88=Liste!$I$8,5,"")))))</f>
        <v/>
      </c>
      <c r="J100" s="106" t="str">
        <f>+VLOOKUP($C100,Meta!$B$46:$J$55,9,FALSE)</f>
        <v>n/a</v>
      </c>
      <c r="K100" s="2"/>
      <c r="L100" s="127"/>
    </row>
    <row r="101" spans="2:12" x14ac:dyDescent="0.35">
      <c r="B101" s="108"/>
      <c r="C101" s="108" t="str">
        <f>+Meta!B49</f>
        <v>Produktspektrum</v>
      </c>
      <c r="D101" s="103"/>
      <c r="E101" s="108" t="s">
        <v>146</v>
      </c>
      <c r="F101" s="2"/>
      <c r="G101" s="117" t="s">
        <v>129</v>
      </c>
      <c r="H101" s="139">
        <v>0.1</v>
      </c>
      <c r="I101" s="100" t="str">
        <f>IF('Eingabe Werte'!D89=Liste!$J$4,1,IF('Eingabe Werte'!D89=Liste!$J$5,2,IF('Eingabe Werte'!D89=Liste!$J$6,3,IF('Eingabe Werte'!D89=Liste!$J$7,4,IF('Eingabe Werte'!D89=Liste!$J$8,5,"")))))</f>
        <v/>
      </c>
      <c r="J101" s="106" t="str">
        <f>+VLOOKUP($C101,Meta!$B$46:$J$55,9,FALSE)</f>
        <v>n/a</v>
      </c>
      <c r="K101" s="2"/>
      <c r="L101" s="127"/>
    </row>
    <row r="102" spans="2:12" x14ac:dyDescent="0.35">
      <c r="B102" s="108"/>
      <c r="C102" s="108" t="str">
        <f>+Meta!B50</f>
        <v>Geographische Märkte</v>
      </c>
      <c r="D102" s="103"/>
      <c r="E102" s="108" t="s">
        <v>146</v>
      </c>
      <c r="F102" s="2"/>
      <c r="G102" s="117" t="s">
        <v>129</v>
      </c>
      <c r="H102" s="139">
        <v>0.1</v>
      </c>
      <c r="I102" s="100" t="str">
        <f>IF('Eingabe Werte'!D90=Liste!$K$4,1,IF('Eingabe Werte'!D90=Liste!$K$5,2,IF('Eingabe Werte'!D90=Liste!$K$6,3,IF('Eingabe Werte'!D90=Liste!$K$7,4,IF('Eingabe Werte'!D90=Liste!$K$8,5,"")))))</f>
        <v/>
      </c>
      <c r="J102" s="106" t="str">
        <f>+VLOOKUP($C102,Meta!$B$46:$J$55,9,FALSE)</f>
        <v>n/a</v>
      </c>
      <c r="K102" s="2"/>
      <c r="L102" s="127"/>
    </row>
    <row r="103" spans="2:12" x14ac:dyDescent="0.35">
      <c r="B103" s="108"/>
      <c r="C103" s="108" t="str">
        <f>+Meta!B51</f>
        <v>Produktqualität</v>
      </c>
      <c r="D103" s="103"/>
      <c r="E103" s="108" t="s">
        <v>146</v>
      </c>
      <c r="F103" s="2"/>
      <c r="G103" s="117" t="s">
        <v>129</v>
      </c>
      <c r="H103" s="139">
        <v>0.1</v>
      </c>
      <c r="I103" s="100" t="str">
        <f>IF('Eingabe Werte'!D91=Liste!$L$4,1,IF('Eingabe Werte'!D91=Liste!$L$5,2,IF('Eingabe Werte'!D91=Liste!$L$6,3,IF('Eingabe Werte'!D91=Liste!$L$7,4,IF('Eingabe Werte'!D91=Liste!$L$8,5,"")))))</f>
        <v/>
      </c>
      <c r="J103" s="106" t="str">
        <f>+VLOOKUP($C103,Meta!$B$46:$J$55,9,FALSE)</f>
        <v>n/a</v>
      </c>
      <c r="K103" s="2"/>
      <c r="L103" s="127"/>
    </row>
    <row r="104" spans="2:12" x14ac:dyDescent="0.35">
      <c r="B104" s="182" t="s">
        <v>124</v>
      </c>
      <c r="C104" s="183"/>
      <c r="D104" s="103"/>
      <c r="E104" s="101"/>
      <c r="F104" s="2"/>
      <c r="G104" s="121"/>
      <c r="H104" s="138"/>
      <c r="I104" s="149"/>
      <c r="J104" s="102"/>
      <c r="K104" s="2"/>
      <c r="L104" s="116"/>
    </row>
    <row r="105" spans="2:12" x14ac:dyDescent="0.35">
      <c r="B105" s="112"/>
      <c r="C105" s="112" t="str">
        <f>+Meta!B54</f>
        <v>Umsatz mit Top 5 Kunden</v>
      </c>
      <c r="D105" s="104"/>
      <c r="E105" s="112" t="s">
        <v>231</v>
      </c>
      <c r="F105" s="2"/>
      <c r="G105" s="117" t="s">
        <v>129</v>
      </c>
      <c r="H105" s="139">
        <v>0.1</v>
      </c>
      <c r="I105" s="153" t="str">
        <f>IF('Eingabe Werte'!E60="","",'Eingabe Werte'!E60)</f>
        <v/>
      </c>
      <c r="J105" s="106" t="str">
        <f>+VLOOKUP($C105,Meta!$B$46:$J$55,9,FALSE)</f>
        <v>n/a</v>
      </c>
      <c r="L105" s="127"/>
    </row>
    <row r="106" spans="2:12" ht="14.5" customHeight="1" x14ac:dyDescent="0.35">
      <c r="B106" s="112"/>
      <c r="C106" s="112" t="str">
        <f>+Meta!B55</f>
        <v>Volumen mit Top 5 Lieferanten</v>
      </c>
      <c r="D106" s="104"/>
      <c r="E106" s="112" t="s">
        <v>232</v>
      </c>
      <c r="F106" s="2"/>
      <c r="G106" s="117" t="s">
        <v>129</v>
      </c>
      <c r="H106" s="139">
        <v>0.1</v>
      </c>
      <c r="I106" s="153" t="str">
        <f>IF('Eingabe Werte'!E61="","",'Eingabe Werte'!E61)</f>
        <v/>
      </c>
      <c r="J106" s="106" t="str">
        <f>+VLOOKUP($C106,Meta!$B$46:$J$55,9,FALSE)</f>
        <v>n/a</v>
      </c>
      <c r="L106" s="127"/>
    </row>
    <row r="107" spans="2:12" x14ac:dyDescent="0.35">
      <c r="B107" s="182" t="s">
        <v>71</v>
      </c>
      <c r="C107" s="183"/>
      <c r="D107" s="103"/>
      <c r="E107" s="101"/>
      <c r="F107" s="2"/>
      <c r="G107" s="121"/>
      <c r="H107" s="138"/>
      <c r="I107" s="149"/>
      <c r="J107" s="102"/>
      <c r="K107" s="2"/>
      <c r="L107" s="116"/>
    </row>
    <row r="108" spans="2:12" ht="29" x14ac:dyDescent="0.35">
      <c r="B108" s="112"/>
      <c r="C108" s="159" t="s">
        <v>193</v>
      </c>
      <c r="D108" s="104"/>
      <c r="E108" s="114" t="s">
        <v>73</v>
      </c>
      <c r="F108" s="2"/>
      <c r="G108" s="117" t="s">
        <v>129</v>
      </c>
      <c r="H108" s="158">
        <v>0.1</v>
      </c>
      <c r="I108" s="100" t="str">
        <f>IF('Eingabe Werte'!D96=Liste!$G$4,1,IF('Eingabe Werte'!D96=Liste!$G$5,2,IF('Eingabe Werte'!D96=Liste!$G$6,3,IF('Eingabe Werte'!D96=Liste!$G$7,4,IF('Eingabe Werte'!D96=Liste!$G$8,5,"")))))</f>
        <v/>
      </c>
      <c r="J108" s="106" t="str">
        <f>+VLOOKUP($C108,Meta!$B$46:$J$55,9,FALSE)</f>
        <v>n/a</v>
      </c>
      <c r="L108" s="127" t="s">
        <v>72</v>
      </c>
    </row>
    <row r="109" spans="2:12" x14ac:dyDescent="0.35">
      <c r="B109" s="182" t="s">
        <v>102</v>
      </c>
      <c r="C109" s="183"/>
      <c r="D109" s="103"/>
      <c r="E109" s="101"/>
      <c r="F109" s="2"/>
      <c r="G109" s="121"/>
      <c r="H109" s="138"/>
      <c r="I109" s="149"/>
      <c r="J109" s="102"/>
      <c r="K109" s="2"/>
      <c r="L109" s="116"/>
    </row>
    <row r="110" spans="2:12" x14ac:dyDescent="0.35">
      <c r="B110" s="112"/>
      <c r="C110" s="113" t="s">
        <v>215</v>
      </c>
      <c r="D110" s="104"/>
      <c r="E110" s="114" t="s">
        <v>73</v>
      </c>
      <c r="F110" s="2"/>
      <c r="G110" s="117" t="s">
        <v>129</v>
      </c>
      <c r="H110" s="139">
        <v>0.1</v>
      </c>
      <c r="I110" s="100" t="str">
        <f>IF('Eingabe Werte'!D101=Liste!$F$4,1,IF('Eingabe Werte'!D101=Liste!$F$5,2,IF('Eingabe Werte'!D101=Liste!$F$6,3,IF('Eingabe Werte'!D101=Liste!$F$7,4,IF('Eingabe Werte'!D101=Liste!$F$8,5,"")))))</f>
        <v/>
      </c>
      <c r="J110" s="106" t="str">
        <f>+VLOOKUP($C110,Meta!$B$46:$J$55,9,FALSE)</f>
        <v>n/a</v>
      </c>
      <c r="L110" s="127"/>
    </row>
    <row r="111" spans="2:12" x14ac:dyDescent="0.35">
      <c r="B111" s="2"/>
      <c r="C111" s="2"/>
      <c r="D111" s="2"/>
      <c r="E111" s="2"/>
      <c r="F111" s="2"/>
      <c r="G111" s="2"/>
      <c r="H111" s="144"/>
      <c r="I111" s="154"/>
      <c r="J111" s="2"/>
      <c r="K111" s="2"/>
      <c r="L111" s="2"/>
    </row>
    <row r="112" spans="2:12" x14ac:dyDescent="0.35">
      <c r="B112" s="2"/>
      <c r="C112" s="2"/>
      <c r="D112" s="2"/>
      <c r="E112" s="2"/>
      <c r="F112" s="2"/>
      <c r="G112" s="2"/>
      <c r="H112" s="144"/>
      <c r="I112" s="154"/>
      <c r="J112" s="2"/>
      <c r="K112" s="2"/>
      <c r="L112" s="2"/>
    </row>
    <row r="113" spans="2:12" x14ac:dyDescent="0.35">
      <c r="B113" s="2"/>
      <c r="C113" s="2"/>
      <c r="D113" s="2"/>
      <c r="E113" s="2"/>
      <c r="F113" s="2"/>
      <c r="G113" s="2"/>
      <c r="H113" s="144"/>
      <c r="I113" s="154"/>
      <c r="J113" s="2"/>
      <c r="K113" s="2"/>
      <c r="L113" s="2"/>
    </row>
    <row r="114" spans="2:12" x14ac:dyDescent="0.35">
      <c r="B114" s="2"/>
      <c r="C114" s="2"/>
      <c r="D114" s="2"/>
      <c r="E114" s="2"/>
      <c r="F114" s="2"/>
      <c r="G114" s="2"/>
      <c r="H114" s="144"/>
      <c r="I114" s="154"/>
      <c r="J114" s="2"/>
      <c r="K114" s="2"/>
      <c r="L114" s="2"/>
    </row>
    <row r="115" spans="2:12" x14ac:dyDescent="0.35">
      <c r="B115" s="2"/>
      <c r="C115" s="2"/>
      <c r="D115" s="2"/>
      <c r="E115" s="2"/>
      <c r="F115" s="2"/>
      <c r="G115" s="2"/>
      <c r="H115" s="144"/>
      <c r="I115" s="154"/>
      <c r="J115" s="2"/>
      <c r="K115" s="2"/>
      <c r="L115" s="2"/>
    </row>
    <row r="116" spans="2:12" x14ac:dyDescent="0.35">
      <c r="B116" s="2"/>
      <c r="C116" s="2"/>
      <c r="D116" s="2"/>
      <c r="E116" s="2"/>
      <c r="F116" s="2"/>
      <c r="G116" s="2"/>
      <c r="H116" s="144"/>
      <c r="I116" s="154"/>
      <c r="J116" s="2"/>
      <c r="K116" s="2"/>
      <c r="L116" s="2"/>
    </row>
    <row r="117" spans="2:12" x14ac:dyDescent="0.35">
      <c r="B117" s="2"/>
      <c r="C117" s="2"/>
      <c r="D117" s="2"/>
      <c r="E117" s="2"/>
      <c r="F117" s="2"/>
      <c r="G117" s="2"/>
      <c r="H117" s="144"/>
      <c r="I117" s="154"/>
      <c r="J117" s="2"/>
      <c r="K117" s="2"/>
      <c r="L117" s="2"/>
    </row>
    <row r="118" spans="2:12" x14ac:dyDescent="0.35">
      <c r="B118" s="2"/>
      <c r="C118" s="2"/>
      <c r="D118" s="2"/>
      <c r="E118" s="2"/>
      <c r="F118" s="2"/>
      <c r="G118" s="2"/>
      <c r="H118" s="144"/>
      <c r="I118" s="154"/>
      <c r="J118" s="2"/>
      <c r="K118" s="2"/>
      <c r="L118" s="2"/>
    </row>
    <row r="119" spans="2:12" x14ac:dyDescent="0.35">
      <c r="B119" s="2"/>
      <c r="C119" s="2"/>
      <c r="D119" s="2"/>
      <c r="E119" s="2"/>
      <c r="F119" s="2"/>
      <c r="G119" s="2"/>
      <c r="H119" s="144"/>
      <c r="I119" s="154"/>
      <c r="J119" s="2"/>
      <c r="K119" s="2"/>
      <c r="L119" s="2"/>
    </row>
    <row r="120" spans="2:12" x14ac:dyDescent="0.35">
      <c r="B120" s="2"/>
      <c r="C120" s="2"/>
      <c r="D120" s="2"/>
      <c r="E120" s="2"/>
      <c r="F120" s="2"/>
      <c r="G120" s="2"/>
      <c r="H120" s="144"/>
      <c r="I120" s="154"/>
      <c r="J120" s="2"/>
      <c r="K120" s="2"/>
      <c r="L120" s="2"/>
    </row>
    <row r="121" spans="2:12" x14ac:dyDescent="0.35">
      <c r="B121" s="2"/>
      <c r="C121" s="2"/>
      <c r="D121" s="2"/>
      <c r="E121" s="2"/>
      <c r="F121" s="2"/>
      <c r="G121" s="2"/>
      <c r="H121" s="144"/>
      <c r="I121" s="154"/>
      <c r="J121" s="2"/>
      <c r="K121" s="2"/>
      <c r="L121" s="2"/>
    </row>
    <row r="122" spans="2:12" x14ac:dyDescent="0.35">
      <c r="B122" s="2"/>
      <c r="C122" s="2"/>
      <c r="D122" s="2"/>
      <c r="E122" s="2"/>
      <c r="F122" s="2"/>
      <c r="G122" s="2"/>
      <c r="H122" s="144"/>
      <c r="I122" s="154"/>
      <c r="J122" s="2"/>
      <c r="K122" s="2"/>
      <c r="L122" s="2"/>
    </row>
    <row r="123" spans="2:12" x14ac:dyDescent="0.35">
      <c r="B123" s="2"/>
      <c r="C123" s="2"/>
      <c r="D123" s="2"/>
      <c r="E123" s="2"/>
      <c r="F123" s="2"/>
      <c r="G123" s="2"/>
      <c r="H123" s="144"/>
      <c r="I123" s="154"/>
      <c r="J123" s="2"/>
      <c r="K123" s="2"/>
      <c r="L123" s="2"/>
    </row>
    <row r="124" spans="2:12" x14ac:dyDescent="0.35">
      <c r="B124" s="2"/>
      <c r="C124" s="2"/>
      <c r="D124" s="2"/>
      <c r="E124" s="2"/>
      <c r="F124" s="2"/>
      <c r="G124" s="2"/>
      <c r="H124" s="144"/>
      <c r="I124" s="154"/>
      <c r="J124" s="2"/>
      <c r="K124" s="2"/>
      <c r="L124" s="2"/>
    </row>
    <row r="125" spans="2:12" x14ac:dyDescent="0.35">
      <c r="B125" s="2"/>
      <c r="C125" s="2"/>
      <c r="D125" s="2"/>
      <c r="E125" s="2"/>
      <c r="F125" s="2"/>
      <c r="G125" s="2"/>
      <c r="H125" s="144"/>
      <c r="I125" s="154"/>
      <c r="J125" s="2"/>
      <c r="K125" s="2"/>
      <c r="L125" s="2"/>
    </row>
    <row r="126" spans="2:12" x14ac:dyDescent="0.35">
      <c r="B126" s="2"/>
      <c r="C126" s="2"/>
      <c r="D126" s="2"/>
      <c r="E126" s="2"/>
      <c r="F126" s="2"/>
      <c r="G126" s="2"/>
      <c r="H126" s="144"/>
      <c r="I126" s="154"/>
      <c r="J126" s="2"/>
      <c r="K126" s="2"/>
      <c r="L126" s="2"/>
    </row>
    <row r="127" spans="2:12" x14ac:dyDescent="0.35">
      <c r="B127" s="2"/>
      <c r="C127" s="2"/>
      <c r="D127" s="2"/>
      <c r="E127" s="2"/>
      <c r="F127" s="2"/>
      <c r="G127" s="2"/>
      <c r="H127" s="144"/>
      <c r="I127" s="154"/>
      <c r="J127" s="2"/>
      <c r="K127" s="2"/>
      <c r="L127" s="2"/>
    </row>
    <row r="128" spans="2:12" x14ac:dyDescent="0.35">
      <c r="B128" s="2"/>
      <c r="C128" s="2"/>
      <c r="D128" s="2"/>
      <c r="E128" s="2"/>
      <c r="F128" s="2"/>
      <c r="G128" s="2"/>
      <c r="H128" s="144"/>
      <c r="I128" s="154"/>
      <c r="J128" s="2"/>
      <c r="K128" s="2"/>
      <c r="L128" s="2"/>
    </row>
    <row r="129" spans="2:12" x14ac:dyDescent="0.35">
      <c r="B129" s="2"/>
      <c r="C129" s="2"/>
      <c r="D129" s="2"/>
      <c r="E129" s="2"/>
      <c r="F129" s="2"/>
      <c r="G129" s="2"/>
      <c r="H129" s="144"/>
      <c r="I129" s="154"/>
      <c r="J129" s="2"/>
      <c r="K129" s="2"/>
      <c r="L129" s="2"/>
    </row>
    <row r="130" spans="2:12" x14ac:dyDescent="0.35">
      <c r="B130" s="2"/>
      <c r="C130" s="2"/>
      <c r="D130" s="2"/>
      <c r="E130" s="2"/>
      <c r="F130" s="2"/>
      <c r="G130" s="2"/>
      <c r="H130" s="144"/>
      <c r="I130" s="154"/>
      <c r="J130" s="2"/>
      <c r="K130" s="2"/>
      <c r="L130" s="2"/>
    </row>
    <row r="131" spans="2:12" x14ac:dyDescent="0.35">
      <c r="B131" s="2"/>
      <c r="C131" s="2"/>
      <c r="D131" s="2"/>
      <c r="E131" s="2"/>
      <c r="F131" s="2"/>
      <c r="G131" s="2"/>
      <c r="H131" s="144"/>
      <c r="I131" s="154"/>
      <c r="J131" s="2"/>
      <c r="K131" s="2"/>
      <c r="L131" s="2"/>
    </row>
    <row r="132" spans="2:12" x14ac:dyDescent="0.35">
      <c r="B132" s="2"/>
      <c r="C132" s="2"/>
      <c r="D132" s="2"/>
      <c r="E132" s="2"/>
      <c r="F132" s="2"/>
      <c r="G132" s="2"/>
      <c r="H132" s="144"/>
      <c r="I132" s="154"/>
      <c r="J132" s="2"/>
      <c r="K132" s="2"/>
      <c r="L132" s="2"/>
    </row>
    <row r="133" spans="2:12" x14ac:dyDescent="0.35">
      <c r="B133" s="2"/>
      <c r="C133" s="2"/>
      <c r="D133" s="2"/>
      <c r="E133" s="2"/>
      <c r="F133" s="2"/>
      <c r="G133" s="2"/>
      <c r="H133" s="144"/>
      <c r="I133" s="154"/>
      <c r="J133" s="2"/>
      <c r="K133" s="2"/>
      <c r="L133" s="2"/>
    </row>
    <row r="134" spans="2:12" x14ac:dyDescent="0.35">
      <c r="B134" s="2"/>
      <c r="C134" s="2"/>
      <c r="D134" s="2"/>
      <c r="E134" s="2"/>
      <c r="F134" s="2"/>
      <c r="G134" s="2"/>
      <c r="H134" s="144"/>
      <c r="I134" s="154"/>
      <c r="J134" s="2"/>
      <c r="K134" s="2"/>
      <c r="L134" s="2"/>
    </row>
    <row r="135" spans="2:12" x14ac:dyDescent="0.35">
      <c r="B135" s="2"/>
      <c r="C135" s="2"/>
      <c r="D135" s="2"/>
      <c r="E135" s="2"/>
      <c r="F135" s="2"/>
      <c r="G135" s="2"/>
      <c r="H135" s="144"/>
      <c r="I135" s="154"/>
      <c r="J135" s="2"/>
      <c r="K135" s="2"/>
      <c r="L135" s="2"/>
    </row>
    <row r="136" spans="2:12" x14ac:dyDescent="0.35">
      <c r="B136" s="2"/>
      <c r="C136" s="2"/>
      <c r="D136" s="2"/>
      <c r="E136" s="2"/>
      <c r="G136" s="2"/>
      <c r="H136" s="144"/>
      <c r="I136" s="154"/>
      <c r="J136" s="2"/>
      <c r="K136" s="2"/>
      <c r="L136" s="2"/>
    </row>
    <row r="137" spans="2:12" x14ac:dyDescent="0.35">
      <c r="B137" s="2"/>
      <c r="C137" s="2"/>
      <c r="D137" s="2"/>
      <c r="E137" s="2"/>
      <c r="G137" s="2"/>
      <c r="H137" s="144"/>
      <c r="I137" s="154"/>
      <c r="J137" s="2"/>
      <c r="K137" s="2"/>
      <c r="L137" s="2"/>
    </row>
    <row r="138" spans="2:12" x14ac:dyDescent="0.35">
      <c r="B138" s="2"/>
      <c r="C138" s="2"/>
      <c r="D138" s="2"/>
      <c r="E138" s="2"/>
      <c r="G138" s="2"/>
      <c r="H138" s="144"/>
      <c r="I138" s="154"/>
      <c r="J138" s="2"/>
      <c r="K138" s="2"/>
      <c r="L138" s="2"/>
    </row>
    <row r="139" spans="2:12" x14ac:dyDescent="0.35">
      <c r="B139" s="2"/>
      <c r="C139" s="2"/>
      <c r="D139" s="2"/>
      <c r="E139" s="2"/>
      <c r="G139" s="2"/>
      <c r="H139" s="144"/>
      <c r="I139" s="154"/>
      <c r="J139" s="2"/>
      <c r="K139" s="2"/>
      <c r="L139" s="2"/>
    </row>
  </sheetData>
  <sheetProtection algorithmName="SHA-512" hashValue="AV0TGAv+bC8Mwy0dPIFHf1vPchBdWYHkXS9QieR6MO6lbK/zfDTD1slZAsf3Z77EkNQXp1MsnqL5HPB4pR0ong==" saltValue="PwsIv01t4lod3yztfyTmtQ==" spinCount="100000" sheet="1" objects="1" scenarios="1"/>
  <protectedRanges>
    <protectedRange algorithmName="SHA-512" hashValue="ayHoNywtFhp+287utHk5YztiN/WBM3EbRwULOh2Qp7UXIq17hRFk0Yn+RV1LzolXh3cuw0T5rEembymFI1n1Rw==" saltValue="nvI2lccq3hLRDr4yzX7daA==" spinCount="100000" sqref="I5:J110 B5:E110" name="Range1"/>
  </protectedRanges>
  <mergeCells count="38">
    <mergeCell ref="B21:C21"/>
    <mergeCell ref="B9:C9"/>
    <mergeCell ref="B17:C17"/>
    <mergeCell ref="B19:C19"/>
    <mergeCell ref="B6:C6"/>
    <mergeCell ref="B7:C7"/>
    <mergeCell ref="B11:C11"/>
    <mergeCell ref="B13:C13"/>
    <mergeCell ref="B15:C15"/>
    <mergeCell ref="B27:C27"/>
    <mergeCell ref="B31:C31"/>
    <mergeCell ref="B28:C28"/>
    <mergeCell ref="B33:C33"/>
    <mergeCell ref="B40:C40"/>
    <mergeCell ref="B41:C41"/>
    <mergeCell ref="B64:C64"/>
    <mergeCell ref="B62:C62"/>
    <mergeCell ref="B51:C51"/>
    <mergeCell ref="B52:C52"/>
    <mergeCell ref="B54:C54"/>
    <mergeCell ref="B56:C56"/>
    <mergeCell ref="B58:C58"/>
    <mergeCell ref="B60:C60"/>
    <mergeCell ref="B71:C71"/>
    <mergeCell ref="B82:C82"/>
    <mergeCell ref="B88:C88"/>
    <mergeCell ref="B74:C74"/>
    <mergeCell ref="B78:C78"/>
    <mergeCell ref="B76:C76"/>
    <mergeCell ref="B72:C72"/>
    <mergeCell ref="B80:C80"/>
    <mergeCell ref="B84:C84"/>
    <mergeCell ref="B109:C109"/>
    <mergeCell ref="B95:C95"/>
    <mergeCell ref="B104:C104"/>
    <mergeCell ref="B96:C96"/>
    <mergeCell ref="B99:C99"/>
    <mergeCell ref="B107:C107"/>
  </mergeCells>
  <pageMargins left="0.7" right="0.7" top="0.78740157499999996" bottom="0.78740157499999996" header="0.3" footer="0.3"/>
  <ignoredErrors>
    <ignoredError sqref="I8" formulaRange="1"/>
    <ignoredError sqref="H73:H89" unlockedFormula="1"/>
  </ignoredErrors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60DDA0C-70AF-4603-BA17-71B8DBC357F6}">
          <x14:formula1>
            <xm:f>Liste!$E$4:$E$5</xm:f>
          </x14:formula1>
          <xm:sqref>G20 G10 G12 G14 G16 G18 G22 G32 G34 G29:G30 G42:G45 G63 G53 G55 G57 G59 G61 G65 G89 G73 G75 G77 G79 G85:G87 G81:G83 G110 G97:G98 G108 G100:G106 G8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B6BEC-5675-4CA3-BB1D-0928F92B909F}">
  <sheetPr>
    <tabColor rgb="FFC00000"/>
  </sheetPr>
  <dimension ref="B2:J140"/>
  <sheetViews>
    <sheetView showGridLines="0" topLeftCell="A75" workbookViewId="0">
      <selection activeCell="A91" sqref="A91:XFD95"/>
    </sheetView>
  </sheetViews>
  <sheetFormatPr defaultColWidth="8.7265625" defaultRowHeight="14.5" x14ac:dyDescent="0.35"/>
  <cols>
    <col min="1" max="2" width="3.6328125" customWidth="1"/>
    <col min="3" max="3" width="40.6328125" customWidth="1"/>
    <col min="4" max="4" width="16.90625" bestFit="1" customWidth="1"/>
    <col min="5" max="5" width="2.6328125" customWidth="1"/>
    <col min="6" max="6" width="13.54296875" bestFit="1" customWidth="1"/>
    <col min="7" max="7" width="9.81640625" bestFit="1" customWidth="1"/>
    <col min="8" max="8" width="19.7265625" bestFit="1" customWidth="1"/>
    <col min="9" max="9" width="2.6328125" customWidth="1"/>
    <col min="10" max="10" width="16.81640625" bestFit="1" customWidth="1"/>
  </cols>
  <sheetData>
    <row r="2" spans="2:10" x14ac:dyDescent="0.35">
      <c r="B2" s="7" t="s">
        <v>9</v>
      </c>
    </row>
    <row r="4" spans="2:10" x14ac:dyDescent="0.35">
      <c r="B4" s="123" t="s">
        <v>6</v>
      </c>
      <c r="C4" s="124"/>
      <c r="D4" s="18" t="s">
        <v>130</v>
      </c>
      <c r="F4" s="18" t="s">
        <v>131</v>
      </c>
      <c r="G4" s="18" t="s">
        <v>128</v>
      </c>
      <c r="H4" s="20" t="s">
        <v>139</v>
      </c>
      <c r="J4" s="20" t="s">
        <v>188</v>
      </c>
    </row>
    <row r="5" spans="2:10" ht="14.5" customHeight="1" x14ac:dyDescent="0.35">
      <c r="B5" s="87" t="s">
        <v>7</v>
      </c>
      <c r="C5" s="88"/>
      <c r="D5" s="55"/>
      <c r="E5" s="55"/>
      <c r="F5" s="55"/>
      <c r="G5" s="55"/>
      <c r="H5" s="55"/>
      <c r="I5" s="55"/>
      <c r="J5" s="55"/>
    </row>
    <row r="6" spans="2:10" x14ac:dyDescent="0.35">
      <c r="B6" s="3"/>
      <c r="C6" s="3" t="s">
        <v>7</v>
      </c>
      <c r="D6" s="56">
        <f>IF('Relevanz-Gewichtung-Parameter'!I8="",0,IF('Relevanz-Gewichtung-Parameter'!G8="Ja",'Relevanz-Gewichtung-Parameter'!H8,0))</f>
        <v>0</v>
      </c>
      <c r="E6" s="55"/>
      <c r="F6" s="56" t="e">
        <f>D6/$D$24</f>
        <v>#DIV/0!</v>
      </c>
      <c r="G6" s="57">
        <f>IFERROR(_xlfn.NUMBERVALUE(LEFT('Relevanz-Gewichtung-Parameter'!J8,1)),0)</f>
        <v>0</v>
      </c>
      <c r="H6" s="58" t="e">
        <f t="shared" ref="H6:H23" si="0">G6*F6</f>
        <v>#DIV/0!</v>
      </c>
      <c r="I6" s="55"/>
      <c r="J6" s="55">
        <f>+IF('Relevanz-Gewichtung-Parameter'!G8="Ja",1,0)</f>
        <v>1</v>
      </c>
    </row>
    <row r="7" spans="2:10" ht="14.5" customHeight="1" x14ac:dyDescent="0.35">
      <c r="B7" s="87" t="s">
        <v>25</v>
      </c>
      <c r="C7" s="88"/>
      <c r="D7" s="56"/>
      <c r="E7" s="55"/>
      <c r="F7" s="56"/>
      <c r="G7" s="57"/>
      <c r="H7" s="58">
        <f t="shared" si="0"/>
        <v>0</v>
      </c>
      <c r="I7" s="55"/>
      <c r="J7" s="55">
        <f>+IF('Relevanz-Gewichtung-Parameter'!G9="Ja",1,0)</f>
        <v>0</v>
      </c>
    </row>
    <row r="8" spans="2:10" x14ac:dyDescent="0.35">
      <c r="B8" s="3"/>
      <c r="C8" s="3" t="s">
        <v>25</v>
      </c>
      <c r="D8" s="56">
        <f>IF('Relevanz-Gewichtung-Parameter'!I10="",0,IF('Relevanz-Gewichtung-Parameter'!G10="Ja",'Relevanz-Gewichtung-Parameter'!H10,0))</f>
        <v>0</v>
      </c>
      <c r="E8" s="55"/>
      <c r="F8" s="56" t="e">
        <f>D8/$D$24</f>
        <v>#DIV/0!</v>
      </c>
      <c r="G8" s="57">
        <f>IFERROR(_xlfn.NUMBERVALUE(LEFT('Relevanz-Gewichtung-Parameter'!J10,1)),0)</f>
        <v>0</v>
      </c>
      <c r="H8" s="58" t="e">
        <f t="shared" si="0"/>
        <v>#DIV/0!</v>
      </c>
      <c r="I8" s="55"/>
      <c r="J8" s="55">
        <f>+IF('Relevanz-Gewichtung-Parameter'!G10="Ja",1,0)</f>
        <v>1</v>
      </c>
    </row>
    <row r="9" spans="2:10" ht="14.5" customHeight="1" x14ac:dyDescent="0.35">
      <c r="B9" s="87" t="s">
        <v>26</v>
      </c>
      <c r="C9" s="88"/>
      <c r="D9" s="56"/>
      <c r="E9" s="55"/>
      <c r="F9" s="56"/>
      <c r="G9" s="57"/>
      <c r="H9" s="58">
        <f t="shared" si="0"/>
        <v>0</v>
      </c>
      <c r="I9" s="55"/>
      <c r="J9" s="55" t="e">
        <f>+IF('Relevanz-Gewichtung-Parameter'!#REF!="Ja",1,0)</f>
        <v>#REF!</v>
      </c>
    </row>
    <row r="10" spans="2:10" ht="14.5" customHeight="1" x14ac:dyDescent="0.35">
      <c r="B10" s="87" t="s">
        <v>19</v>
      </c>
      <c r="C10" s="88"/>
      <c r="D10" s="56"/>
      <c r="E10" s="55"/>
      <c r="F10" s="56"/>
      <c r="G10" s="57"/>
      <c r="H10" s="58">
        <f t="shared" si="0"/>
        <v>0</v>
      </c>
      <c r="I10" s="55"/>
      <c r="J10" s="55">
        <f>+IF('Relevanz-Gewichtung-Parameter'!G11="Ja",1,0)</f>
        <v>0</v>
      </c>
    </row>
    <row r="11" spans="2:10" x14ac:dyDescent="0.35">
      <c r="B11" s="3"/>
      <c r="C11" s="3" t="s">
        <v>19</v>
      </c>
      <c r="D11" s="56">
        <f>IF('Relevanz-Gewichtung-Parameter'!I12="",0,IF('Relevanz-Gewichtung-Parameter'!G12="Ja",'Relevanz-Gewichtung-Parameter'!H12,0))</f>
        <v>0</v>
      </c>
      <c r="E11" s="55"/>
      <c r="F11" s="56" t="e">
        <f>D11/$D$24</f>
        <v>#DIV/0!</v>
      </c>
      <c r="G11" s="57">
        <f>IFERROR(_xlfn.NUMBERVALUE(LEFT('Relevanz-Gewichtung-Parameter'!J12,1)),0)</f>
        <v>0</v>
      </c>
      <c r="H11" s="58" t="e">
        <f t="shared" si="0"/>
        <v>#DIV/0!</v>
      </c>
      <c r="I11" s="55"/>
      <c r="J11" s="55">
        <f>+IF('Relevanz-Gewichtung-Parameter'!G12="Ja",1,0)</f>
        <v>1</v>
      </c>
    </row>
    <row r="12" spans="2:10" ht="14.5" customHeight="1" x14ac:dyDescent="0.35">
      <c r="B12" s="87" t="s">
        <v>27</v>
      </c>
      <c r="C12" s="88"/>
      <c r="D12" s="56"/>
      <c r="E12" s="55"/>
      <c r="F12" s="56"/>
      <c r="G12" s="57"/>
      <c r="H12" s="58">
        <f t="shared" si="0"/>
        <v>0</v>
      </c>
      <c r="I12" s="55"/>
      <c r="J12" s="55" t="e">
        <f>+IF('Relevanz-Gewichtung-Parameter'!#REF!="Ja",1,0)</f>
        <v>#REF!</v>
      </c>
    </row>
    <row r="13" spans="2:10" ht="14.5" customHeight="1" x14ac:dyDescent="0.35">
      <c r="B13" s="87" t="s">
        <v>20</v>
      </c>
      <c r="C13" s="88"/>
      <c r="D13" s="56"/>
      <c r="E13" s="55"/>
      <c r="F13" s="56"/>
      <c r="G13" s="57"/>
      <c r="H13" s="58">
        <f t="shared" si="0"/>
        <v>0</v>
      </c>
      <c r="I13" s="55"/>
      <c r="J13" s="55">
        <f>+IF('Relevanz-Gewichtung-Parameter'!G13="Ja",1,0)</f>
        <v>0</v>
      </c>
    </row>
    <row r="14" spans="2:10" x14ac:dyDescent="0.35">
      <c r="B14" s="3"/>
      <c r="C14" s="3" t="s">
        <v>20</v>
      </c>
      <c r="D14" s="56">
        <f>IF('Relevanz-Gewichtung-Parameter'!I14="",0,IF('Relevanz-Gewichtung-Parameter'!G14="Ja",'Relevanz-Gewichtung-Parameter'!H14,0))</f>
        <v>0</v>
      </c>
      <c r="E14" s="55"/>
      <c r="F14" s="56" t="e">
        <f>D14/$D$24</f>
        <v>#DIV/0!</v>
      </c>
      <c r="G14" s="57">
        <f>IFERROR(_xlfn.NUMBERVALUE(LEFT('Relevanz-Gewichtung-Parameter'!J14,1)),0)</f>
        <v>0</v>
      </c>
      <c r="H14" s="58" t="e">
        <f t="shared" si="0"/>
        <v>#DIV/0!</v>
      </c>
      <c r="I14" s="55"/>
      <c r="J14" s="55">
        <f>+IF('Relevanz-Gewichtung-Parameter'!G14="Ja",1,0)</f>
        <v>1</v>
      </c>
    </row>
    <row r="15" spans="2:10" ht="14.5" customHeight="1" x14ac:dyDescent="0.35">
      <c r="B15" s="87" t="s">
        <v>28</v>
      </c>
      <c r="C15" s="88"/>
      <c r="D15" s="56"/>
      <c r="E15" s="55"/>
      <c r="F15" s="56"/>
      <c r="G15" s="57"/>
      <c r="H15" s="58">
        <f t="shared" si="0"/>
        <v>0</v>
      </c>
      <c r="I15" s="55"/>
      <c r="J15" s="55" t="e">
        <f>+IF('Relevanz-Gewichtung-Parameter'!#REF!="Ja",1,0)</f>
        <v>#REF!</v>
      </c>
    </row>
    <row r="16" spans="2:10" ht="14.5" customHeight="1" x14ac:dyDescent="0.35">
      <c r="B16" s="87" t="s">
        <v>22</v>
      </c>
      <c r="C16" s="88"/>
      <c r="D16" s="56"/>
      <c r="E16" s="55"/>
      <c r="F16" s="56"/>
      <c r="G16" s="57"/>
      <c r="H16" s="58">
        <f t="shared" si="0"/>
        <v>0</v>
      </c>
      <c r="I16" s="55"/>
      <c r="J16" s="55">
        <f>+IF('Relevanz-Gewichtung-Parameter'!G15="Ja",1,0)</f>
        <v>0</v>
      </c>
    </row>
    <row r="17" spans="2:10" x14ac:dyDescent="0.35">
      <c r="B17" s="3"/>
      <c r="C17" s="3" t="s">
        <v>22</v>
      </c>
      <c r="D17" s="56">
        <f>IF('Relevanz-Gewichtung-Parameter'!I16="",0,IF('Relevanz-Gewichtung-Parameter'!G16="Ja",'Relevanz-Gewichtung-Parameter'!H16,0))</f>
        <v>0</v>
      </c>
      <c r="E17" s="55"/>
      <c r="F17" s="56" t="e">
        <f>D17/$D$24</f>
        <v>#DIV/0!</v>
      </c>
      <c r="G17" s="57">
        <f>IFERROR(_xlfn.NUMBERVALUE(LEFT('Relevanz-Gewichtung-Parameter'!J16,1)),0)</f>
        <v>0</v>
      </c>
      <c r="H17" s="58" t="e">
        <f t="shared" si="0"/>
        <v>#DIV/0!</v>
      </c>
      <c r="I17" s="55"/>
      <c r="J17" s="55">
        <f>+IF('Relevanz-Gewichtung-Parameter'!G16="Ja",1,0)</f>
        <v>1</v>
      </c>
    </row>
    <row r="18" spans="2:10" ht="14.5" customHeight="1" x14ac:dyDescent="0.35">
      <c r="B18" s="87" t="s">
        <v>36</v>
      </c>
      <c r="C18" s="88"/>
      <c r="D18" s="56"/>
      <c r="E18" s="55"/>
      <c r="F18" s="56"/>
      <c r="G18" s="57"/>
      <c r="H18" s="58">
        <f t="shared" si="0"/>
        <v>0</v>
      </c>
      <c r="I18" s="55"/>
      <c r="J18" s="55">
        <f>+IF('Relevanz-Gewichtung-Parameter'!G17="Ja",1,0)</f>
        <v>0</v>
      </c>
    </row>
    <row r="19" spans="2:10" x14ac:dyDescent="0.35">
      <c r="B19" s="3"/>
      <c r="C19" s="3" t="s">
        <v>36</v>
      </c>
      <c r="D19" s="56">
        <f>IF('Relevanz-Gewichtung-Parameter'!I18="",0,IF('Relevanz-Gewichtung-Parameter'!G18="Ja",'Relevanz-Gewichtung-Parameter'!H18,0))</f>
        <v>0</v>
      </c>
      <c r="E19" s="55"/>
      <c r="F19" s="56" t="e">
        <f>D19/$D$24</f>
        <v>#DIV/0!</v>
      </c>
      <c r="G19" s="57">
        <f>IFERROR(_xlfn.NUMBERVALUE(LEFT('Relevanz-Gewichtung-Parameter'!J18,1)),0)</f>
        <v>0</v>
      </c>
      <c r="H19" s="58" t="e">
        <f t="shared" si="0"/>
        <v>#DIV/0!</v>
      </c>
      <c r="I19" s="55"/>
      <c r="J19" s="55">
        <f>+IF('Relevanz-Gewichtung-Parameter'!G18="Ja",1,0)</f>
        <v>1</v>
      </c>
    </row>
    <row r="20" spans="2:10" ht="14.5" customHeight="1" x14ac:dyDescent="0.35">
      <c r="B20" s="87" t="s">
        <v>23</v>
      </c>
      <c r="C20" s="88"/>
      <c r="D20" s="56"/>
      <c r="E20" s="55"/>
      <c r="F20" s="56"/>
      <c r="G20" s="57"/>
      <c r="H20" s="58">
        <f t="shared" si="0"/>
        <v>0</v>
      </c>
      <c r="I20" s="55"/>
      <c r="J20" s="55">
        <f>+IF('Relevanz-Gewichtung-Parameter'!G19="Ja",1,0)</f>
        <v>0</v>
      </c>
    </row>
    <row r="21" spans="2:10" x14ac:dyDescent="0.35">
      <c r="B21" s="3"/>
      <c r="C21" s="3" t="s">
        <v>23</v>
      </c>
      <c r="D21" s="56">
        <f>IF('Relevanz-Gewichtung-Parameter'!I20="",0,IF('Relevanz-Gewichtung-Parameter'!G20="Ja",'Relevanz-Gewichtung-Parameter'!H20,0))</f>
        <v>0</v>
      </c>
      <c r="E21" s="55"/>
      <c r="F21" s="56" t="e">
        <f>D21/$D$24</f>
        <v>#DIV/0!</v>
      </c>
      <c r="G21" s="57">
        <f>IFERROR(_xlfn.NUMBERVALUE(LEFT('Relevanz-Gewichtung-Parameter'!J20,1)),0)</f>
        <v>0</v>
      </c>
      <c r="H21" s="58" t="e">
        <f t="shared" si="0"/>
        <v>#DIV/0!</v>
      </c>
      <c r="I21" s="55"/>
      <c r="J21" s="55">
        <f>+IF('Relevanz-Gewichtung-Parameter'!G20="Ja",1,0)</f>
        <v>1</v>
      </c>
    </row>
    <row r="22" spans="2:10" ht="14.5" customHeight="1" x14ac:dyDescent="0.35">
      <c r="B22" s="87" t="s">
        <v>24</v>
      </c>
      <c r="C22" s="88"/>
      <c r="D22" s="56"/>
      <c r="E22" s="55"/>
      <c r="F22" s="56"/>
      <c r="G22" s="57"/>
      <c r="H22" s="58">
        <f t="shared" si="0"/>
        <v>0</v>
      </c>
      <c r="I22" s="55"/>
      <c r="J22" s="55">
        <f>+IF('Relevanz-Gewichtung-Parameter'!G21="Ja",1,0)</f>
        <v>0</v>
      </c>
    </row>
    <row r="23" spans="2:10" x14ac:dyDescent="0.35">
      <c r="B23" s="3"/>
      <c r="C23" s="3" t="s">
        <v>24</v>
      </c>
      <c r="D23" s="56">
        <f>IF('Relevanz-Gewichtung-Parameter'!I22="",0,IF('Relevanz-Gewichtung-Parameter'!G22="Ja",'Relevanz-Gewichtung-Parameter'!H22,0))</f>
        <v>0</v>
      </c>
      <c r="E23" s="55"/>
      <c r="F23" s="56" t="e">
        <f>D23/$D$24</f>
        <v>#DIV/0!</v>
      </c>
      <c r="G23" s="57">
        <f>IFERROR(_xlfn.NUMBERVALUE(LEFT('Relevanz-Gewichtung-Parameter'!J22,1)),0)</f>
        <v>0</v>
      </c>
      <c r="H23" s="58" t="e">
        <f t="shared" si="0"/>
        <v>#DIV/0!</v>
      </c>
      <c r="I23" s="55"/>
      <c r="J23" s="55">
        <f>+IF('Relevanz-Gewichtung-Parameter'!G22="Ja",1,0)</f>
        <v>1</v>
      </c>
    </row>
    <row r="24" spans="2:10" ht="15" thickBot="1" x14ac:dyDescent="0.4">
      <c r="B24" s="2"/>
      <c r="C24" s="2"/>
      <c r="D24" s="69">
        <f>SUM(D6:D23)</f>
        <v>0</v>
      </c>
      <c r="E24" s="70"/>
      <c r="F24" s="69" t="e">
        <f>SUM(F6:F23)</f>
        <v>#DIV/0!</v>
      </c>
      <c r="G24" s="70"/>
      <c r="H24" s="71" t="e">
        <f>SUM(H6:H23)</f>
        <v>#DIV/0!</v>
      </c>
      <c r="I24" s="70"/>
      <c r="J24" s="70" t="e">
        <f>+SUM(J6:J23)</f>
        <v>#REF!</v>
      </c>
    </row>
    <row r="25" spans="2:10" ht="15" thickTop="1" x14ac:dyDescent="0.35">
      <c r="B25" s="2"/>
      <c r="C25" s="2"/>
    </row>
    <row r="26" spans="2:10" x14ac:dyDescent="0.35">
      <c r="B26" s="7" t="s">
        <v>10</v>
      </c>
    </row>
    <row r="28" spans="2:10" x14ac:dyDescent="0.35">
      <c r="B28" s="125" t="s">
        <v>6</v>
      </c>
      <c r="C28" s="126"/>
      <c r="D28" s="18" t="s">
        <v>130</v>
      </c>
      <c r="F28" s="18" t="s">
        <v>131</v>
      </c>
      <c r="G28" s="18" t="s">
        <v>128</v>
      </c>
      <c r="H28" s="20" t="s">
        <v>139</v>
      </c>
      <c r="J28" s="20" t="s">
        <v>188</v>
      </c>
    </row>
    <row r="29" spans="2:10" ht="14.5" customHeight="1" x14ac:dyDescent="0.35">
      <c r="B29" s="87" t="s">
        <v>34</v>
      </c>
      <c r="C29" s="88"/>
      <c r="D29" s="55"/>
      <c r="E29" s="55"/>
      <c r="F29" s="55"/>
      <c r="G29" s="55"/>
      <c r="H29" s="55"/>
      <c r="I29" s="55"/>
      <c r="J29" s="55"/>
    </row>
    <row r="30" spans="2:10" x14ac:dyDescent="0.35">
      <c r="B30" s="3"/>
      <c r="C30" s="3" t="s">
        <v>34</v>
      </c>
      <c r="D30" s="56">
        <f>IF('Relevanz-Gewichtung-Parameter'!I29="",0,IF('Relevanz-Gewichtung-Parameter'!G29="Ja",'Relevanz-Gewichtung-Parameter'!H29,0))</f>
        <v>0</v>
      </c>
      <c r="E30" s="55"/>
      <c r="F30" s="56" t="e">
        <f>D30/$D$36</f>
        <v>#DIV/0!</v>
      </c>
      <c r="G30" s="57">
        <f>IFERROR(_xlfn.NUMBERVALUE(LEFT('Relevanz-Gewichtung-Parameter'!J29,1)),0)</f>
        <v>0</v>
      </c>
      <c r="H30" s="58" t="e">
        <f>G30*F30</f>
        <v>#DIV/0!</v>
      </c>
      <c r="I30" s="55"/>
      <c r="J30" s="55">
        <f>+IF('Relevanz-Gewichtung-Parameter'!G29="Ja",1,0)</f>
        <v>1</v>
      </c>
    </row>
    <row r="31" spans="2:10" x14ac:dyDescent="0.35">
      <c r="B31" s="3"/>
      <c r="C31" s="3" t="s">
        <v>153</v>
      </c>
      <c r="D31" s="56">
        <f>IF('Relevanz-Gewichtung-Parameter'!I30="",0,IF('Relevanz-Gewichtung-Parameter'!G30="Ja",'Relevanz-Gewichtung-Parameter'!H30,0))</f>
        <v>0</v>
      </c>
      <c r="E31" s="55"/>
      <c r="F31" s="56" t="e">
        <f>D31/$D$36</f>
        <v>#DIV/0!</v>
      </c>
      <c r="G31" s="57">
        <f>IFERROR(_xlfn.NUMBERVALUE(LEFT('Relevanz-Gewichtung-Parameter'!J30,1)),0)</f>
        <v>0</v>
      </c>
      <c r="H31" s="58" t="e">
        <f>G31*F31</f>
        <v>#DIV/0!</v>
      </c>
      <c r="I31" s="55"/>
      <c r="J31" s="55">
        <f>+IF('Relevanz-Gewichtung-Parameter'!G30="Ja",1,0)</f>
        <v>1</v>
      </c>
    </row>
    <row r="32" spans="2:10" ht="14.5" customHeight="1" x14ac:dyDescent="0.35">
      <c r="B32" s="87" t="s">
        <v>35</v>
      </c>
      <c r="C32" s="88"/>
      <c r="D32" s="56"/>
      <c r="E32" s="55"/>
      <c r="F32" s="56"/>
      <c r="G32" s="57"/>
      <c r="H32" s="58"/>
      <c r="I32" s="55"/>
      <c r="J32" s="55">
        <f>+IF('Relevanz-Gewichtung-Parameter'!G31="Ja",1,0)</f>
        <v>0</v>
      </c>
    </row>
    <row r="33" spans="2:10" x14ac:dyDescent="0.35">
      <c r="B33" s="3"/>
      <c r="C33" s="3" t="s">
        <v>35</v>
      </c>
      <c r="D33" s="56">
        <f>IF('Relevanz-Gewichtung-Parameter'!I32="",0,IF('Relevanz-Gewichtung-Parameter'!G32="Ja",'Relevanz-Gewichtung-Parameter'!H32,0))</f>
        <v>0</v>
      </c>
      <c r="E33" s="55"/>
      <c r="F33" s="56" t="e">
        <f>D33/$D$36</f>
        <v>#DIV/0!</v>
      </c>
      <c r="G33" s="57">
        <f>IFERROR(_xlfn.NUMBERVALUE(LEFT('Relevanz-Gewichtung-Parameter'!J32,1)),0)</f>
        <v>0</v>
      </c>
      <c r="H33" s="58" t="e">
        <f>G33*F33</f>
        <v>#DIV/0!</v>
      </c>
      <c r="I33" s="55"/>
      <c r="J33" s="55">
        <f>+IF('Relevanz-Gewichtung-Parameter'!G32="Ja",1,0)</f>
        <v>1</v>
      </c>
    </row>
    <row r="34" spans="2:10" ht="14.5" customHeight="1" x14ac:dyDescent="0.35">
      <c r="B34" s="87" t="s">
        <v>101</v>
      </c>
      <c r="C34" s="88"/>
      <c r="D34" s="56"/>
      <c r="E34" s="55"/>
      <c r="F34" s="56"/>
      <c r="G34" s="57"/>
      <c r="H34" s="58"/>
      <c r="I34" s="55"/>
      <c r="J34" s="55">
        <f>+IF('Relevanz-Gewichtung-Parameter'!G33="Ja",1,0)</f>
        <v>0</v>
      </c>
    </row>
    <row r="35" spans="2:10" x14ac:dyDescent="0.35">
      <c r="B35" s="3"/>
      <c r="C35" s="3" t="s">
        <v>154</v>
      </c>
      <c r="D35" s="56">
        <f>IF('Relevanz-Gewichtung-Parameter'!I34="",0,IF('Relevanz-Gewichtung-Parameter'!G34="Ja",'Relevanz-Gewichtung-Parameter'!H34,0))</f>
        <v>0</v>
      </c>
      <c r="E35" s="55"/>
      <c r="F35" s="56" t="e">
        <f>D35/$D$36</f>
        <v>#DIV/0!</v>
      </c>
      <c r="G35" s="57">
        <f>IFERROR(_xlfn.NUMBERVALUE(LEFT('Relevanz-Gewichtung-Parameter'!J34,1)),0)</f>
        <v>0</v>
      </c>
      <c r="H35" s="58" t="e">
        <f>G35*F35</f>
        <v>#DIV/0!</v>
      </c>
      <c r="I35" s="55"/>
      <c r="J35" s="55">
        <f>+IF('Relevanz-Gewichtung-Parameter'!G34="Ja",1,0)</f>
        <v>1</v>
      </c>
    </row>
    <row r="36" spans="2:10" ht="15" thickBot="1" x14ac:dyDescent="0.4">
      <c r="B36" s="2"/>
      <c r="C36" s="2"/>
      <c r="D36" s="59">
        <f>SUM(D30:D35)</f>
        <v>0</v>
      </c>
      <c r="E36" s="60"/>
      <c r="F36" s="59" t="e">
        <f>SUM(F30:F35)</f>
        <v>#DIV/0!</v>
      </c>
      <c r="G36" s="60"/>
      <c r="H36" s="61" t="e">
        <f>SUM(H30:H35)</f>
        <v>#DIV/0!</v>
      </c>
      <c r="I36" s="60"/>
      <c r="J36" s="60">
        <f>+SUM(J30:J35)</f>
        <v>4</v>
      </c>
    </row>
    <row r="37" spans="2:10" ht="15" thickTop="1" x14ac:dyDescent="0.35">
      <c r="B37" s="2"/>
      <c r="C37" s="2"/>
    </row>
    <row r="38" spans="2:10" x14ac:dyDescent="0.35">
      <c r="B38" s="2"/>
      <c r="C38" s="2"/>
    </row>
    <row r="39" spans="2:10" x14ac:dyDescent="0.35">
      <c r="B39" s="7" t="s">
        <v>11</v>
      </c>
    </row>
    <row r="41" spans="2:10" x14ac:dyDescent="0.35">
      <c r="B41" s="125" t="s">
        <v>6</v>
      </c>
      <c r="C41" s="126"/>
      <c r="D41" s="18" t="s">
        <v>130</v>
      </c>
      <c r="F41" s="18" t="s">
        <v>131</v>
      </c>
      <c r="G41" s="18" t="s">
        <v>128</v>
      </c>
      <c r="H41" s="20" t="s">
        <v>139</v>
      </c>
      <c r="J41" s="20" t="s">
        <v>188</v>
      </c>
    </row>
    <row r="42" spans="2:10" ht="14.5" customHeight="1" x14ac:dyDescent="0.35">
      <c r="B42" s="87" t="s">
        <v>177</v>
      </c>
      <c r="C42" s="88"/>
      <c r="D42" s="55"/>
      <c r="E42" s="55"/>
      <c r="F42" s="55"/>
      <c r="G42" s="55"/>
      <c r="H42" s="55"/>
      <c r="I42" s="55"/>
      <c r="J42" s="55"/>
    </row>
    <row r="43" spans="2:10" x14ac:dyDescent="0.35">
      <c r="B43" s="3"/>
      <c r="C43" s="42" t="s">
        <v>31</v>
      </c>
      <c r="D43" s="56">
        <f>IF('Relevanz-Gewichtung-Parameter'!I42="",0,IF('Relevanz-Gewichtung-Parameter'!G42="Ja",'Relevanz-Gewichtung-Parameter'!H42,0))</f>
        <v>0</v>
      </c>
      <c r="E43" s="55"/>
      <c r="F43" s="56" t="e">
        <f>D43/$D$47</f>
        <v>#DIV/0!</v>
      </c>
      <c r="G43" s="57">
        <f>IFERROR(_xlfn.NUMBERVALUE(LEFT('Relevanz-Gewichtung-Parameter'!J42,1)),0)</f>
        <v>0</v>
      </c>
      <c r="H43" s="58" t="e">
        <f>G43*F43</f>
        <v>#DIV/0!</v>
      </c>
      <c r="I43" s="55"/>
      <c r="J43" s="55">
        <f>+IF('Relevanz-Gewichtung-Parameter'!G42="Ja",1,0)</f>
        <v>1</v>
      </c>
    </row>
    <row r="44" spans="2:10" x14ac:dyDescent="0.35">
      <c r="B44" s="3"/>
      <c r="C44" s="3" t="s">
        <v>32</v>
      </c>
      <c r="D44" s="56">
        <f>IF('Relevanz-Gewichtung-Parameter'!I43="",0,IF('Relevanz-Gewichtung-Parameter'!G43="Ja",'Relevanz-Gewichtung-Parameter'!H43,0))</f>
        <v>0</v>
      </c>
      <c r="E44" s="55"/>
      <c r="F44" s="56" t="e">
        <f>D44/$D$47</f>
        <v>#DIV/0!</v>
      </c>
      <c r="G44" s="57">
        <f>IFERROR(_xlfn.NUMBERVALUE(LEFT('Relevanz-Gewichtung-Parameter'!J43,1)),0)</f>
        <v>0</v>
      </c>
      <c r="H44" s="58" t="e">
        <f>G44*F44</f>
        <v>#DIV/0!</v>
      </c>
      <c r="I44" s="55"/>
      <c r="J44" s="55">
        <f>+IF('Relevanz-Gewichtung-Parameter'!G43="Ja",1,0)</f>
        <v>1</v>
      </c>
    </row>
    <row r="45" spans="2:10" x14ac:dyDescent="0.35">
      <c r="B45" s="3"/>
      <c r="C45" s="3" t="s">
        <v>33</v>
      </c>
      <c r="D45" s="56">
        <f>IF('Relevanz-Gewichtung-Parameter'!I44="",0,IF('Relevanz-Gewichtung-Parameter'!G44="Ja",'Relevanz-Gewichtung-Parameter'!H44,0))</f>
        <v>0</v>
      </c>
      <c r="E45" s="55"/>
      <c r="F45" s="56" t="e">
        <f>D45/$D$47</f>
        <v>#DIV/0!</v>
      </c>
      <c r="G45" s="57">
        <f>IFERROR(_xlfn.NUMBERVALUE(LEFT('Relevanz-Gewichtung-Parameter'!J44,1)),0)</f>
        <v>0</v>
      </c>
      <c r="H45" s="58" t="e">
        <f>G45*F45</f>
        <v>#DIV/0!</v>
      </c>
      <c r="I45" s="55"/>
      <c r="J45" s="55">
        <f>+IF('Relevanz-Gewichtung-Parameter'!G44="Ja",1,0)</f>
        <v>1</v>
      </c>
    </row>
    <row r="46" spans="2:10" x14ac:dyDescent="0.35">
      <c r="B46" s="3"/>
      <c r="C46" s="3" t="s">
        <v>99</v>
      </c>
      <c r="D46" s="56">
        <f>IF('Relevanz-Gewichtung-Parameter'!I45="",0,IF('Relevanz-Gewichtung-Parameter'!G45="Ja",'Relevanz-Gewichtung-Parameter'!H45,0))</f>
        <v>0</v>
      </c>
      <c r="E46" s="55"/>
      <c r="F46" s="56" t="e">
        <f>D46/$D$47</f>
        <v>#DIV/0!</v>
      </c>
      <c r="G46" s="57">
        <f>IFERROR(_xlfn.NUMBERVALUE(LEFT('Relevanz-Gewichtung-Parameter'!J45,1)),0)</f>
        <v>0</v>
      </c>
      <c r="H46" s="58" t="e">
        <f>G46*F46</f>
        <v>#DIV/0!</v>
      </c>
      <c r="I46" s="55"/>
      <c r="J46" s="55">
        <f>+IF('Relevanz-Gewichtung-Parameter'!G45="Ja",1,0)</f>
        <v>1</v>
      </c>
    </row>
    <row r="47" spans="2:10" ht="15" thickBot="1" x14ac:dyDescent="0.4">
      <c r="B47" s="2"/>
      <c r="C47" s="2"/>
      <c r="D47" s="52">
        <f>SUM(D43:D46)</f>
        <v>0</v>
      </c>
      <c r="E47" s="53"/>
      <c r="F47" s="52" t="e">
        <f>SUM(F43:F46)</f>
        <v>#DIV/0!</v>
      </c>
      <c r="G47" s="53"/>
      <c r="H47" s="54" t="e">
        <f>SUM(H43:H46)</f>
        <v>#DIV/0!</v>
      </c>
      <c r="I47" s="53"/>
      <c r="J47" s="53">
        <f>+SUM(J43:J46)</f>
        <v>4</v>
      </c>
    </row>
    <row r="48" spans="2:10" ht="15" thickTop="1" x14ac:dyDescent="0.35">
      <c r="B48" s="2"/>
      <c r="C48" s="2"/>
    </row>
    <row r="49" spans="2:10" x14ac:dyDescent="0.35">
      <c r="B49" s="2"/>
      <c r="C49" s="2"/>
    </row>
    <row r="50" spans="2:10" x14ac:dyDescent="0.35">
      <c r="B50" s="7" t="s">
        <v>12</v>
      </c>
    </row>
    <row r="52" spans="2:10" x14ac:dyDescent="0.35">
      <c r="B52" s="125" t="s">
        <v>6</v>
      </c>
      <c r="C52" s="126"/>
      <c r="D52" s="18" t="s">
        <v>130</v>
      </c>
      <c r="F52" s="18" t="s">
        <v>131</v>
      </c>
      <c r="G52" s="18" t="s">
        <v>128</v>
      </c>
      <c r="H52" s="20" t="s">
        <v>139</v>
      </c>
      <c r="J52" s="20" t="s">
        <v>188</v>
      </c>
    </row>
    <row r="53" spans="2:10" ht="14.5" customHeight="1" x14ac:dyDescent="0.35">
      <c r="B53" s="87" t="s">
        <v>29</v>
      </c>
      <c r="C53" s="88"/>
      <c r="D53" s="55"/>
      <c r="E53" s="55"/>
      <c r="F53" s="55"/>
      <c r="G53" s="55"/>
      <c r="H53" s="55"/>
      <c r="I53" s="55"/>
      <c r="J53" s="55"/>
    </row>
    <row r="54" spans="2:10" x14ac:dyDescent="0.35">
      <c r="B54" s="3"/>
      <c r="C54" s="3" t="s">
        <v>29</v>
      </c>
      <c r="D54" s="56">
        <f>IF('Relevanz-Gewichtung-Parameter'!I53="",0,IF('Relevanz-Gewichtung-Parameter'!G53="Ja",'Relevanz-Gewichtung-Parameter'!H53,0))</f>
        <v>0</v>
      </c>
      <c r="E54" s="55"/>
      <c r="F54" s="56" t="e">
        <f>D54/$D$67</f>
        <v>#DIV/0!</v>
      </c>
      <c r="G54" s="57">
        <f>IFERROR(_xlfn.NUMBERVALUE(LEFT('Relevanz-Gewichtung-Parameter'!J53,1)),0)</f>
        <v>0</v>
      </c>
      <c r="H54" s="58" t="e">
        <f>G54*F54</f>
        <v>#DIV/0!</v>
      </c>
      <c r="I54" s="55"/>
      <c r="J54" s="55">
        <f>+IF('Relevanz-Gewichtung-Parameter'!G53="Ja",1,0)</f>
        <v>1</v>
      </c>
    </row>
    <row r="55" spans="2:10" ht="14.5" customHeight="1" x14ac:dyDescent="0.35">
      <c r="B55" s="87" t="s">
        <v>30</v>
      </c>
      <c r="C55" s="88"/>
      <c r="D55" s="56"/>
      <c r="E55" s="55"/>
      <c r="F55" s="56"/>
      <c r="G55" s="57"/>
      <c r="H55" s="58"/>
      <c r="I55" s="55"/>
      <c r="J55" s="55">
        <f>+IF('Relevanz-Gewichtung-Parameter'!G54="Ja",1,0)</f>
        <v>0</v>
      </c>
    </row>
    <row r="56" spans="2:10" x14ac:dyDescent="0.35">
      <c r="B56" s="3"/>
      <c r="C56" s="3" t="s">
        <v>30</v>
      </c>
      <c r="D56" s="56">
        <f>IF('Relevanz-Gewichtung-Parameter'!I55="",0,IF('Relevanz-Gewichtung-Parameter'!G55="Ja",'Relevanz-Gewichtung-Parameter'!H55,0))</f>
        <v>0</v>
      </c>
      <c r="E56" s="55"/>
      <c r="F56" s="56" t="e">
        <f>D56/$D$67</f>
        <v>#DIV/0!</v>
      </c>
      <c r="G56" s="57">
        <f>IFERROR(_xlfn.NUMBERVALUE(LEFT('Relevanz-Gewichtung-Parameter'!J55,1)),0)</f>
        <v>0</v>
      </c>
      <c r="H56" s="58" t="e">
        <f>G56*F56</f>
        <v>#DIV/0!</v>
      </c>
      <c r="I56" s="55"/>
      <c r="J56" s="55">
        <f>+IF('Relevanz-Gewichtung-Parameter'!G55="Ja",1,0)</f>
        <v>1</v>
      </c>
    </row>
    <row r="57" spans="2:10" ht="14.5" customHeight="1" x14ac:dyDescent="0.35">
      <c r="B57" s="87" t="s">
        <v>48</v>
      </c>
      <c r="C57" s="88"/>
      <c r="D57" s="56"/>
      <c r="E57" s="55"/>
      <c r="F57" s="56"/>
      <c r="G57" s="57"/>
      <c r="H57" s="58"/>
      <c r="I57" s="55"/>
      <c r="J57" s="55">
        <f>+IF('Relevanz-Gewichtung-Parameter'!G56="Ja",1,0)</f>
        <v>0</v>
      </c>
    </row>
    <row r="58" spans="2:10" x14ac:dyDescent="0.35">
      <c r="B58" s="3"/>
      <c r="C58" s="3" t="s">
        <v>48</v>
      </c>
      <c r="D58" s="56">
        <f>IF('Relevanz-Gewichtung-Parameter'!I57="",0,IF('Relevanz-Gewichtung-Parameter'!G57="Ja",'Relevanz-Gewichtung-Parameter'!H57,0))</f>
        <v>0</v>
      </c>
      <c r="E58" s="55"/>
      <c r="F58" s="56" t="e">
        <f>D58/$D$67</f>
        <v>#DIV/0!</v>
      </c>
      <c r="G58" s="57">
        <f>IFERROR(_xlfn.NUMBERVALUE(LEFT('Relevanz-Gewichtung-Parameter'!J57,1)),0)</f>
        <v>0</v>
      </c>
      <c r="H58" s="58" t="e">
        <f>G58*F58</f>
        <v>#DIV/0!</v>
      </c>
      <c r="I58" s="55"/>
      <c r="J58" s="55">
        <f>+IF('Relevanz-Gewichtung-Parameter'!G57="Ja",1,0)</f>
        <v>1</v>
      </c>
    </row>
    <row r="59" spans="2:10" ht="14.5" customHeight="1" x14ac:dyDescent="0.35">
      <c r="B59" s="87" t="s">
        <v>49</v>
      </c>
      <c r="C59" s="88"/>
      <c r="D59" s="56"/>
      <c r="E59" s="55"/>
      <c r="F59" s="56"/>
      <c r="G59" s="57"/>
      <c r="H59" s="58"/>
      <c r="I59" s="55"/>
      <c r="J59" s="55">
        <f>+IF('Relevanz-Gewichtung-Parameter'!G58="Ja",1,0)</f>
        <v>0</v>
      </c>
    </row>
    <row r="60" spans="2:10" x14ac:dyDescent="0.35">
      <c r="B60" s="3"/>
      <c r="C60" s="3" t="s">
        <v>49</v>
      </c>
      <c r="D60" s="56">
        <f>IF('Relevanz-Gewichtung-Parameter'!I59="",0,IF('Relevanz-Gewichtung-Parameter'!G59="Ja",'Relevanz-Gewichtung-Parameter'!H59,0))</f>
        <v>0</v>
      </c>
      <c r="E60" s="55"/>
      <c r="F60" s="56" t="e">
        <f>D60/$D$67</f>
        <v>#DIV/0!</v>
      </c>
      <c r="G60" s="57">
        <f>IFERROR(_xlfn.NUMBERVALUE(LEFT('Relevanz-Gewichtung-Parameter'!J59,1)),0)</f>
        <v>0</v>
      </c>
      <c r="H60" s="58" t="e">
        <f>G60*F60</f>
        <v>#DIV/0!</v>
      </c>
      <c r="I60" s="55"/>
      <c r="J60" s="55">
        <f>+IF('Relevanz-Gewichtung-Parameter'!G59="Ja",1,0)</f>
        <v>1</v>
      </c>
    </row>
    <row r="61" spans="2:10" ht="14.5" customHeight="1" x14ac:dyDescent="0.35">
      <c r="B61" s="87" t="s">
        <v>51</v>
      </c>
      <c r="C61" s="88"/>
      <c r="D61" s="55"/>
      <c r="E61" s="55"/>
      <c r="F61" s="55"/>
      <c r="G61" s="55"/>
      <c r="H61" s="55"/>
      <c r="I61" s="55"/>
      <c r="J61" s="55">
        <f>+IF('Relevanz-Gewichtung-Parameter'!G60="Ja",1,0)</f>
        <v>0</v>
      </c>
    </row>
    <row r="62" spans="2:10" x14ac:dyDescent="0.35">
      <c r="B62" s="3"/>
      <c r="C62" s="3" t="s">
        <v>51</v>
      </c>
      <c r="D62" s="56">
        <f>IF('Relevanz-Gewichtung-Parameter'!I61="",0,IF('Relevanz-Gewichtung-Parameter'!G61="Ja",'Relevanz-Gewichtung-Parameter'!H61,0))</f>
        <v>0</v>
      </c>
      <c r="E62" s="55"/>
      <c r="F62" s="56" t="e">
        <f>D62/$D$67</f>
        <v>#DIV/0!</v>
      </c>
      <c r="G62" s="57">
        <f>IFERROR(_xlfn.NUMBERVALUE(LEFT('Relevanz-Gewichtung-Parameter'!J61,1)),0)</f>
        <v>0</v>
      </c>
      <c r="H62" s="58" t="e">
        <f>G62*F62</f>
        <v>#DIV/0!</v>
      </c>
      <c r="I62" s="55"/>
      <c r="J62" s="55">
        <f>+IF('Relevanz-Gewichtung-Parameter'!G61="Ja",1,0)</f>
        <v>1</v>
      </c>
    </row>
    <row r="63" spans="2:10" ht="14.5" customHeight="1" x14ac:dyDescent="0.35">
      <c r="B63" s="87" t="s">
        <v>42</v>
      </c>
      <c r="C63" s="88"/>
      <c r="D63" s="55"/>
      <c r="E63" s="55"/>
      <c r="F63" s="55"/>
      <c r="G63" s="55"/>
      <c r="H63" s="55"/>
      <c r="I63" s="55"/>
      <c r="J63" s="55">
        <f>+IF('Relevanz-Gewichtung-Parameter'!G62="Ja",1,0)</f>
        <v>0</v>
      </c>
    </row>
    <row r="64" spans="2:10" x14ac:dyDescent="0.35">
      <c r="B64" s="3"/>
      <c r="C64" s="3" t="s">
        <v>42</v>
      </c>
      <c r="D64" s="56">
        <f>IF('Relevanz-Gewichtung-Parameter'!I63="",0,IF('Relevanz-Gewichtung-Parameter'!G63="Ja",'Relevanz-Gewichtung-Parameter'!H63,0))</f>
        <v>0</v>
      </c>
      <c r="E64" s="55"/>
      <c r="F64" s="56" t="e">
        <f>D64/$D$67</f>
        <v>#DIV/0!</v>
      </c>
      <c r="G64" s="57">
        <f>IFERROR(_xlfn.NUMBERVALUE(LEFT('Relevanz-Gewichtung-Parameter'!J63,1)),0)</f>
        <v>0</v>
      </c>
      <c r="H64" s="58" t="e">
        <f>G64*F64</f>
        <v>#DIV/0!</v>
      </c>
      <c r="I64" s="55"/>
      <c r="J64" s="55">
        <f>+IF('Relevanz-Gewichtung-Parameter'!G63="Ja",1,0)</f>
        <v>1</v>
      </c>
    </row>
    <row r="65" spans="2:10" ht="14.5" customHeight="1" x14ac:dyDescent="0.35">
      <c r="B65" s="87" t="s">
        <v>50</v>
      </c>
      <c r="C65" s="88"/>
      <c r="D65" s="55"/>
      <c r="E65" s="55"/>
      <c r="F65" s="55"/>
      <c r="G65" s="55"/>
      <c r="H65" s="55"/>
      <c r="I65" s="55"/>
      <c r="J65" s="55">
        <f>+IF('Relevanz-Gewichtung-Parameter'!G64="Ja",1,0)</f>
        <v>0</v>
      </c>
    </row>
    <row r="66" spans="2:10" x14ac:dyDescent="0.35">
      <c r="B66" s="3"/>
      <c r="C66" s="3" t="s">
        <v>50</v>
      </c>
      <c r="D66" s="56">
        <f>IF('Relevanz-Gewichtung-Parameter'!I65="",0,IF('Relevanz-Gewichtung-Parameter'!G65="Ja",'Relevanz-Gewichtung-Parameter'!H65,0))</f>
        <v>0</v>
      </c>
      <c r="E66" s="55"/>
      <c r="F66" s="56" t="e">
        <f>D66/$D$67</f>
        <v>#DIV/0!</v>
      </c>
      <c r="G66" s="57">
        <f>IFERROR(_xlfn.NUMBERVALUE(LEFT('Relevanz-Gewichtung-Parameter'!J65,1)),0)</f>
        <v>0</v>
      </c>
      <c r="H66" s="58" t="e">
        <f>G66*F66</f>
        <v>#DIV/0!</v>
      </c>
      <c r="I66" s="55"/>
      <c r="J66" s="55">
        <f>+IF('Relevanz-Gewichtung-Parameter'!G65="Ja",1,0)</f>
        <v>1</v>
      </c>
    </row>
    <row r="67" spans="2:10" ht="15" thickBot="1" x14ac:dyDescent="0.4">
      <c r="B67" s="2"/>
      <c r="C67" s="2"/>
      <c r="D67" s="52">
        <f>SUM(D54:D66)</f>
        <v>0</v>
      </c>
      <c r="E67" s="53"/>
      <c r="F67" s="52" t="e">
        <f>SUM(F54:F66)</f>
        <v>#DIV/0!</v>
      </c>
      <c r="G67" s="53"/>
      <c r="H67" s="54" t="e">
        <f>SUM(H54:H66)</f>
        <v>#DIV/0!</v>
      </c>
      <c r="I67" s="53"/>
      <c r="J67" s="53">
        <f>+SUM(J54:J66)</f>
        <v>7</v>
      </c>
    </row>
    <row r="68" spans="2:10" ht="15" thickTop="1" x14ac:dyDescent="0.35">
      <c r="B68" s="2"/>
      <c r="C68" s="2"/>
    </row>
    <row r="69" spans="2:10" x14ac:dyDescent="0.35">
      <c r="B69" s="2"/>
      <c r="C69" s="2"/>
    </row>
    <row r="70" spans="2:10" x14ac:dyDescent="0.35">
      <c r="B70" s="7" t="s">
        <v>18</v>
      </c>
    </row>
    <row r="72" spans="2:10" x14ac:dyDescent="0.35">
      <c r="B72" s="125" t="s">
        <v>6</v>
      </c>
      <c r="C72" s="126"/>
      <c r="D72" s="18" t="s">
        <v>130</v>
      </c>
      <c r="F72" s="18" t="s">
        <v>131</v>
      </c>
      <c r="G72" s="18" t="s">
        <v>128</v>
      </c>
      <c r="H72" s="20" t="s">
        <v>139</v>
      </c>
      <c r="J72" s="20" t="s">
        <v>188</v>
      </c>
    </row>
    <row r="73" spans="2:10" ht="14.5" customHeight="1" x14ac:dyDescent="0.35">
      <c r="B73" s="87" t="s">
        <v>69</v>
      </c>
      <c r="C73" s="88"/>
      <c r="D73" s="55"/>
      <c r="E73" s="55"/>
      <c r="F73" s="55"/>
      <c r="G73" s="55"/>
      <c r="H73" s="55"/>
      <c r="I73" s="55"/>
      <c r="J73" s="55"/>
    </row>
    <row r="74" spans="2:10" x14ac:dyDescent="0.35">
      <c r="B74" s="3"/>
      <c r="C74" s="3" t="s">
        <v>69</v>
      </c>
      <c r="D74" s="56">
        <f>IF('Relevanz-Gewichtung-Parameter'!I73="",0,IF('Relevanz-Gewichtung-Parameter'!G73="Ja",'Relevanz-Gewichtung-Parameter'!H73,0))</f>
        <v>0</v>
      </c>
      <c r="E74" s="55"/>
      <c r="F74" s="56" t="e">
        <f>D74/$D$91</f>
        <v>#DIV/0!</v>
      </c>
      <c r="G74" s="57">
        <f>IFERROR(_xlfn.NUMBERVALUE(LEFT('Relevanz-Gewichtung-Parameter'!J73,1)),0)</f>
        <v>0</v>
      </c>
      <c r="H74" s="58" t="e">
        <f>G74*F74</f>
        <v>#DIV/0!</v>
      </c>
      <c r="I74" s="55"/>
      <c r="J74" s="55">
        <f>+IF('Relevanz-Gewichtung-Parameter'!G73="Ja",1,0)</f>
        <v>1</v>
      </c>
    </row>
    <row r="75" spans="2:10" ht="14.5" customHeight="1" x14ac:dyDescent="0.35">
      <c r="B75" s="87" t="s">
        <v>70</v>
      </c>
      <c r="C75" s="88"/>
      <c r="D75" s="56"/>
      <c r="E75" s="55"/>
      <c r="F75" s="56"/>
      <c r="G75" s="57"/>
      <c r="H75" s="58"/>
      <c r="I75" s="55"/>
      <c r="J75" s="55">
        <f>+IF('Relevanz-Gewichtung-Parameter'!G74="Ja",1,0)</f>
        <v>0</v>
      </c>
    </row>
    <row r="76" spans="2:10" ht="29" x14ac:dyDescent="0.35">
      <c r="B76" s="89"/>
      <c r="C76" s="90" t="s">
        <v>70</v>
      </c>
      <c r="D76" s="56">
        <f>IF('Relevanz-Gewichtung-Parameter'!I75="",0,IF('Relevanz-Gewichtung-Parameter'!G75="Ja",'Relevanz-Gewichtung-Parameter'!H75,0))</f>
        <v>0</v>
      </c>
      <c r="E76" s="55"/>
      <c r="F76" s="56" t="e">
        <f>D76/$D$91</f>
        <v>#DIV/0!</v>
      </c>
      <c r="G76" s="57">
        <f>IFERROR(_xlfn.NUMBERVALUE(LEFT('Relevanz-Gewichtung-Parameter'!J75,1)),0)</f>
        <v>0</v>
      </c>
      <c r="H76" s="58" t="e">
        <f>G76*F76</f>
        <v>#DIV/0!</v>
      </c>
      <c r="I76" s="55"/>
      <c r="J76" s="55">
        <f>+IF('Relevanz-Gewichtung-Parameter'!G75="Ja",1,0)</f>
        <v>1</v>
      </c>
    </row>
    <row r="77" spans="2:10" ht="14.5" customHeight="1" x14ac:dyDescent="0.35">
      <c r="B77" s="87" t="s">
        <v>38</v>
      </c>
      <c r="C77" s="88"/>
      <c r="D77" s="56"/>
      <c r="E77" s="55"/>
      <c r="F77" s="56"/>
      <c r="G77" s="57"/>
      <c r="H77" s="58"/>
      <c r="I77" s="55"/>
      <c r="J77" s="55">
        <f>+IF('Relevanz-Gewichtung-Parameter'!G76="Ja",1,0)</f>
        <v>0</v>
      </c>
    </row>
    <row r="78" spans="2:10" x14ac:dyDescent="0.35">
      <c r="B78" s="3"/>
      <c r="C78" s="3" t="s">
        <v>38</v>
      </c>
      <c r="D78" s="56">
        <f>IF('Relevanz-Gewichtung-Parameter'!I77="",0,IF('Relevanz-Gewichtung-Parameter'!G77="Ja",'Relevanz-Gewichtung-Parameter'!H77,0))</f>
        <v>0</v>
      </c>
      <c r="E78" s="55"/>
      <c r="F78" s="56" t="e">
        <f>D78/$D$91</f>
        <v>#DIV/0!</v>
      </c>
      <c r="G78" s="57">
        <f>IFERROR(_xlfn.NUMBERVALUE(LEFT('Relevanz-Gewichtung-Parameter'!J77,1)),0)</f>
        <v>0</v>
      </c>
      <c r="H78" s="58" t="e">
        <f>G78*F78</f>
        <v>#DIV/0!</v>
      </c>
      <c r="I78" s="55"/>
      <c r="J78" s="55">
        <f>+IF('Relevanz-Gewichtung-Parameter'!G77="Ja",1,0)</f>
        <v>1</v>
      </c>
    </row>
    <row r="79" spans="2:10" ht="14.5" customHeight="1" x14ac:dyDescent="0.35">
      <c r="B79" s="87" t="s">
        <v>39</v>
      </c>
      <c r="C79" s="88"/>
      <c r="D79" s="56"/>
      <c r="E79" s="55"/>
      <c r="F79" s="56"/>
      <c r="G79" s="57"/>
      <c r="H79" s="58"/>
      <c r="I79" s="55"/>
      <c r="J79" s="55">
        <f>+IF('Relevanz-Gewichtung-Parameter'!G78="Ja",1,0)</f>
        <v>0</v>
      </c>
    </row>
    <row r="80" spans="2:10" x14ac:dyDescent="0.35">
      <c r="B80" s="3"/>
      <c r="C80" s="3" t="s">
        <v>39</v>
      </c>
      <c r="D80" s="56">
        <f>IF('Relevanz-Gewichtung-Parameter'!I79="",0,IF('Relevanz-Gewichtung-Parameter'!G79="Ja",'Relevanz-Gewichtung-Parameter'!H79,0))</f>
        <v>0</v>
      </c>
      <c r="E80" s="55"/>
      <c r="F80" s="56" t="e">
        <f>D80/$D$91</f>
        <v>#DIV/0!</v>
      </c>
      <c r="G80" s="57">
        <f>IFERROR(_xlfn.NUMBERVALUE(LEFT('Relevanz-Gewichtung-Parameter'!J79,1)),0)</f>
        <v>0</v>
      </c>
      <c r="H80" s="58" t="e">
        <f>G80*F80</f>
        <v>#DIV/0!</v>
      </c>
      <c r="I80" s="55"/>
      <c r="J80" s="55">
        <f>+IF('Relevanz-Gewichtung-Parameter'!G79="Ja",1,0)</f>
        <v>1</v>
      </c>
    </row>
    <row r="81" spans="2:10" ht="14.5" customHeight="1" x14ac:dyDescent="0.35">
      <c r="B81" s="87" t="s">
        <v>40</v>
      </c>
      <c r="C81" s="88"/>
      <c r="D81" s="56"/>
      <c r="E81" s="55"/>
      <c r="F81" s="56"/>
      <c r="G81" s="57"/>
      <c r="H81" s="58"/>
      <c r="I81" s="55"/>
      <c r="J81" s="55">
        <f>+IF('Relevanz-Gewichtung-Parameter'!G80="Ja",1,0)</f>
        <v>0</v>
      </c>
    </row>
    <row r="82" spans="2:10" x14ac:dyDescent="0.35">
      <c r="B82" s="3"/>
      <c r="C82" s="3" t="s">
        <v>40</v>
      </c>
      <c r="D82" s="56">
        <f>IF('Relevanz-Gewichtung-Parameter'!I81="",0,IF('Relevanz-Gewichtung-Parameter'!G81="Ja",'Relevanz-Gewichtung-Parameter'!H81,0))</f>
        <v>0</v>
      </c>
      <c r="E82" s="55"/>
      <c r="F82" s="56" t="e">
        <f>D82/$D$91</f>
        <v>#DIV/0!</v>
      </c>
      <c r="G82" s="57">
        <f>IFERROR(_xlfn.NUMBERVALUE(LEFT('Relevanz-Gewichtung-Parameter'!J81,1)),0)</f>
        <v>0</v>
      </c>
      <c r="H82" s="58" t="e">
        <f>G82*F82</f>
        <v>#DIV/0!</v>
      </c>
      <c r="I82" s="55"/>
      <c r="J82" s="55">
        <f>+IF('Relevanz-Gewichtung-Parameter'!G81="Ja",1,0)</f>
        <v>1</v>
      </c>
    </row>
    <row r="83" spans="2:10" ht="14.5" customHeight="1" x14ac:dyDescent="0.35">
      <c r="B83" s="87" t="s">
        <v>37</v>
      </c>
      <c r="C83" s="88"/>
      <c r="D83" s="56"/>
      <c r="E83" s="55"/>
      <c r="F83" s="56"/>
      <c r="G83" s="57"/>
      <c r="H83" s="58"/>
      <c r="I83" s="55"/>
      <c r="J83" s="55">
        <f>+IF('Relevanz-Gewichtung-Parameter'!G82="Ja",1,0)</f>
        <v>0</v>
      </c>
    </row>
    <row r="84" spans="2:10" x14ac:dyDescent="0.35">
      <c r="B84" s="3"/>
      <c r="C84" s="3" t="s">
        <v>37</v>
      </c>
      <c r="D84" s="56">
        <f>IF('Relevanz-Gewichtung-Parameter'!I83="",0,IF('Relevanz-Gewichtung-Parameter'!G83="Ja",'Relevanz-Gewichtung-Parameter'!H83,0))</f>
        <v>0</v>
      </c>
      <c r="E84" s="55"/>
      <c r="F84" s="56" t="e">
        <f>D84/$D$91</f>
        <v>#DIV/0!</v>
      </c>
      <c r="G84" s="57">
        <f>IFERROR(_xlfn.NUMBERVALUE(LEFT('Relevanz-Gewichtung-Parameter'!J83,1)),0)</f>
        <v>0</v>
      </c>
      <c r="H84" s="58" t="e">
        <f>G84*F84</f>
        <v>#DIV/0!</v>
      </c>
      <c r="I84" s="55"/>
      <c r="J84" s="55">
        <f>+IF('Relevanz-Gewichtung-Parameter'!G83="Ja",1,0)</f>
        <v>1</v>
      </c>
    </row>
    <row r="85" spans="2:10" ht="14.5" customHeight="1" x14ac:dyDescent="0.35">
      <c r="B85" s="87" t="s">
        <v>43</v>
      </c>
      <c r="C85" s="88"/>
      <c r="D85" s="56"/>
      <c r="E85" s="55"/>
      <c r="F85" s="56"/>
      <c r="G85" s="57"/>
      <c r="H85" s="58"/>
      <c r="I85" s="55"/>
      <c r="J85" s="55">
        <f>+IF('Relevanz-Gewichtung-Parameter'!G84="Ja",1,0)</f>
        <v>0</v>
      </c>
    </row>
    <row r="86" spans="2:10" x14ac:dyDescent="0.35">
      <c r="B86" s="3"/>
      <c r="C86" s="3" t="s">
        <v>44</v>
      </c>
      <c r="D86" s="56">
        <f>IF('Relevanz-Gewichtung-Parameter'!I85="",0,IF('Relevanz-Gewichtung-Parameter'!G85="Ja",'Relevanz-Gewichtung-Parameter'!H85,0))</f>
        <v>0</v>
      </c>
      <c r="E86" s="55"/>
      <c r="F86" s="56" t="e">
        <f>D86/$D$91</f>
        <v>#DIV/0!</v>
      </c>
      <c r="G86" s="57">
        <f>IFERROR(_xlfn.NUMBERVALUE(LEFT('Relevanz-Gewichtung-Parameter'!J85,1)),0)</f>
        <v>0</v>
      </c>
      <c r="H86" s="58" t="e">
        <f>G86*F86</f>
        <v>#DIV/0!</v>
      </c>
      <c r="I86" s="55"/>
      <c r="J86" s="55">
        <f>+IF('Relevanz-Gewichtung-Parameter'!G85="Ja",1,0)</f>
        <v>1</v>
      </c>
    </row>
    <row r="87" spans="2:10" x14ac:dyDescent="0.35">
      <c r="B87" s="3"/>
      <c r="C87" s="3" t="s">
        <v>45</v>
      </c>
      <c r="D87" s="56">
        <f>IF('Relevanz-Gewichtung-Parameter'!I86="",0,IF('Relevanz-Gewichtung-Parameter'!G86="Ja",'Relevanz-Gewichtung-Parameter'!H86,0))</f>
        <v>0</v>
      </c>
      <c r="E87" s="55"/>
      <c r="F87" s="56" t="e">
        <f>D87/$D$91</f>
        <v>#DIV/0!</v>
      </c>
      <c r="G87" s="57">
        <f>IFERROR(_xlfn.NUMBERVALUE(LEFT('Relevanz-Gewichtung-Parameter'!J86,1)),0)</f>
        <v>0</v>
      </c>
      <c r="H87" s="58" t="e">
        <f>G87*F87</f>
        <v>#DIV/0!</v>
      </c>
      <c r="I87" s="55"/>
      <c r="J87" s="55">
        <f>+IF('Relevanz-Gewichtung-Parameter'!G86="Ja",1,0)</f>
        <v>1</v>
      </c>
    </row>
    <row r="88" spans="2:10" x14ac:dyDescent="0.35">
      <c r="B88" s="3"/>
      <c r="C88" s="3" t="s">
        <v>46</v>
      </c>
      <c r="D88" s="56">
        <f>IF('Relevanz-Gewichtung-Parameter'!I87="",0,IF('Relevanz-Gewichtung-Parameter'!G87="Ja",'Relevanz-Gewichtung-Parameter'!H87,0))</f>
        <v>0</v>
      </c>
      <c r="E88" s="55"/>
      <c r="F88" s="56" t="e">
        <f>D88/$D$91</f>
        <v>#DIV/0!</v>
      </c>
      <c r="G88" s="57">
        <f>IFERROR(_xlfn.NUMBERVALUE(LEFT('Relevanz-Gewichtung-Parameter'!J87,1)),0)</f>
        <v>0</v>
      </c>
      <c r="H88" s="58" t="e">
        <f>G88*F88</f>
        <v>#DIV/0!</v>
      </c>
      <c r="I88" s="55"/>
      <c r="J88" s="55">
        <f>+IF('Relevanz-Gewichtung-Parameter'!G87="Ja",1,0)</f>
        <v>1</v>
      </c>
    </row>
    <row r="89" spans="2:10" ht="14.5" customHeight="1" x14ac:dyDescent="0.35">
      <c r="B89" s="87" t="s">
        <v>41</v>
      </c>
      <c r="C89" s="88"/>
      <c r="D89" s="55"/>
      <c r="E89" s="55"/>
      <c r="F89" s="55"/>
      <c r="G89" s="55"/>
      <c r="H89" s="55"/>
      <c r="I89" s="55"/>
      <c r="J89" s="55">
        <f>+IF('Relevanz-Gewichtung-Parameter'!G88="Ja",1,0)</f>
        <v>0</v>
      </c>
    </row>
    <row r="90" spans="2:10" x14ac:dyDescent="0.35">
      <c r="B90" s="3"/>
      <c r="C90" s="3" t="s">
        <v>41</v>
      </c>
      <c r="D90" s="56">
        <f>IF('Relevanz-Gewichtung-Parameter'!I89="",0,IF('Relevanz-Gewichtung-Parameter'!G89="Ja",'Relevanz-Gewichtung-Parameter'!H89,0))</f>
        <v>0</v>
      </c>
      <c r="E90" s="55"/>
      <c r="F90" s="56" t="e">
        <f>D90/$D$91</f>
        <v>#DIV/0!</v>
      </c>
      <c r="G90" s="57">
        <f>IFERROR(_xlfn.NUMBERVALUE(LEFT('Relevanz-Gewichtung-Parameter'!J89,1)),0)</f>
        <v>0</v>
      </c>
      <c r="H90" s="58" t="e">
        <f>G90*F90</f>
        <v>#DIV/0!</v>
      </c>
      <c r="I90" s="55"/>
      <c r="J90" s="55">
        <f>+IF('Relevanz-Gewichtung-Parameter'!G89="Ja",1,0)</f>
        <v>1</v>
      </c>
    </row>
    <row r="91" spans="2:10" ht="15" thickBot="1" x14ac:dyDescent="0.4">
      <c r="B91" s="2"/>
      <c r="C91" s="2"/>
      <c r="D91" s="52">
        <f>SUM(D74:D90)</f>
        <v>0</v>
      </c>
      <c r="E91" s="53"/>
      <c r="F91" s="52" t="e">
        <f>SUM(F74:F90)</f>
        <v>#DIV/0!</v>
      </c>
      <c r="G91" s="53"/>
      <c r="H91" s="54" t="e">
        <f>SUM(H74:H90)</f>
        <v>#DIV/0!</v>
      </c>
      <c r="I91" s="53"/>
      <c r="J91" s="53">
        <f>+SUM(J74:J90)</f>
        <v>10</v>
      </c>
    </row>
    <row r="92" spans="2:10" ht="15" thickTop="1" x14ac:dyDescent="0.35">
      <c r="B92" s="2"/>
      <c r="C92" s="2"/>
    </row>
    <row r="93" spans="2:10" x14ac:dyDescent="0.35">
      <c r="B93" s="2"/>
      <c r="C93" s="2"/>
    </row>
    <row r="94" spans="2:10" x14ac:dyDescent="0.35">
      <c r="B94" s="7" t="s">
        <v>13</v>
      </c>
    </row>
    <row r="96" spans="2:10" x14ac:dyDescent="0.35">
      <c r="B96" s="125" t="s">
        <v>6</v>
      </c>
      <c r="C96" s="126"/>
      <c r="D96" s="18" t="s">
        <v>130</v>
      </c>
      <c r="F96" s="18" t="s">
        <v>131</v>
      </c>
      <c r="G96" s="18" t="s">
        <v>128</v>
      </c>
      <c r="H96" s="20" t="s">
        <v>139</v>
      </c>
      <c r="J96" s="20" t="s">
        <v>188</v>
      </c>
    </row>
    <row r="97" spans="2:10" ht="14.5" customHeight="1" x14ac:dyDescent="0.35">
      <c r="B97" s="87" t="s">
        <v>53</v>
      </c>
      <c r="C97" s="88"/>
      <c r="D97" s="55"/>
      <c r="E97" s="55"/>
      <c r="F97" s="55"/>
      <c r="G97" s="55"/>
      <c r="H97" s="55"/>
      <c r="I97" s="55"/>
      <c r="J97" s="55"/>
    </row>
    <row r="98" spans="2:10" x14ac:dyDescent="0.35">
      <c r="B98" s="3"/>
      <c r="C98" s="3" t="s">
        <v>54</v>
      </c>
      <c r="D98" s="56">
        <f>IF('Relevanz-Gewichtung-Parameter'!I97="",0,IF('Relevanz-Gewichtung-Parameter'!G97="Ja",'Relevanz-Gewichtung-Parameter'!H97,0))</f>
        <v>0</v>
      </c>
      <c r="E98" s="55"/>
      <c r="F98" s="56" t="e">
        <f>D98/$D$112</f>
        <v>#DIV/0!</v>
      </c>
      <c r="G98" s="57">
        <f>IFERROR(_xlfn.NUMBERVALUE(LEFT('Relevanz-Gewichtung-Parameter'!J97,1)),0)</f>
        <v>0</v>
      </c>
      <c r="H98" s="58" t="e">
        <f>G98*F98</f>
        <v>#DIV/0!</v>
      </c>
      <c r="I98" s="55"/>
      <c r="J98" s="55">
        <f>+IF('Relevanz-Gewichtung-Parameter'!G97="Ja",1,0)</f>
        <v>1</v>
      </c>
    </row>
    <row r="99" spans="2:10" x14ac:dyDescent="0.35">
      <c r="B99" s="3"/>
      <c r="C99" s="3" t="s">
        <v>55</v>
      </c>
      <c r="D99" s="56">
        <f>IF('Relevanz-Gewichtung-Parameter'!I98="",0,IF('Relevanz-Gewichtung-Parameter'!G98="Ja",'Relevanz-Gewichtung-Parameter'!H98,0))</f>
        <v>0</v>
      </c>
      <c r="E99" s="55"/>
      <c r="F99" s="56" t="e">
        <f>D99/$D$112</f>
        <v>#DIV/0!</v>
      </c>
      <c r="G99" s="57">
        <f>IFERROR(_xlfn.NUMBERVALUE(LEFT('Relevanz-Gewichtung-Parameter'!J98,1)),0)</f>
        <v>0</v>
      </c>
      <c r="H99" s="58" t="e">
        <f>G99*F99</f>
        <v>#DIV/0!</v>
      </c>
      <c r="I99" s="55"/>
      <c r="J99" s="55">
        <f>+IF('Relevanz-Gewichtung-Parameter'!G98="Ja",1,0)</f>
        <v>1</v>
      </c>
    </row>
    <row r="100" spans="2:10" ht="14.5" customHeight="1" x14ac:dyDescent="0.35">
      <c r="B100" s="87" t="s">
        <v>64</v>
      </c>
      <c r="C100" s="88"/>
      <c r="D100" s="56"/>
      <c r="E100" s="55"/>
      <c r="F100" s="56"/>
      <c r="G100" s="57"/>
      <c r="H100" s="58"/>
      <c r="I100" s="55"/>
      <c r="J100" s="55">
        <f>+IF('Relevanz-Gewichtung-Parameter'!G99="Ja",1,0)</f>
        <v>0</v>
      </c>
    </row>
    <row r="101" spans="2:10" x14ac:dyDescent="0.35">
      <c r="B101" s="3"/>
      <c r="C101" s="3" t="s">
        <v>65</v>
      </c>
      <c r="D101" s="56">
        <f>IF('Relevanz-Gewichtung-Parameter'!I100="",0,IF('Relevanz-Gewichtung-Parameter'!G100="Ja",'Relevanz-Gewichtung-Parameter'!H100,0))</f>
        <v>0</v>
      </c>
      <c r="E101" s="55"/>
      <c r="F101" s="56" t="e">
        <f>D101/$D$112</f>
        <v>#DIV/0!</v>
      </c>
      <c r="G101" s="57">
        <f>IFERROR(_xlfn.NUMBERVALUE(LEFT('Relevanz-Gewichtung-Parameter'!J100,1)),0)</f>
        <v>0</v>
      </c>
      <c r="H101" s="58" t="e">
        <f>G101*F101</f>
        <v>#DIV/0!</v>
      </c>
      <c r="I101" s="55"/>
      <c r="J101" s="55">
        <f>+IF('Relevanz-Gewichtung-Parameter'!G100="Ja",1,0)</f>
        <v>1</v>
      </c>
    </row>
    <row r="102" spans="2:10" x14ac:dyDescent="0.35">
      <c r="B102" s="3"/>
      <c r="C102" s="3" t="s">
        <v>66</v>
      </c>
      <c r="D102" s="56">
        <f>IF('Relevanz-Gewichtung-Parameter'!I101="",0,IF('Relevanz-Gewichtung-Parameter'!G101="Ja",'Relevanz-Gewichtung-Parameter'!H101,0))</f>
        <v>0</v>
      </c>
      <c r="E102" s="55"/>
      <c r="F102" s="56" t="e">
        <f>D102/$D$112</f>
        <v>#DIV/0!</v>
      </c>
      <c r="G102" s="57">
        <f>IFERROR(_xlfn.NUMBERVALUE(LEFT('Relevanz-Gewichtung-Parameter'!J101,1)),0)</f>
        <v>0</v>
      </c>
      <c r="H102" s="58" t="e">
        <f>G102*F102</f>
        <v>#DIV/0!</v>
      </c>
      <c r="I102" s="55"/>
      <c r="J102" s="55">
        <f>+IF('Relevanz-Gewichtung-Parameter'!G101="Ja",1,0)</f>
        <v>1</v>
      </c>
    </row>
    <row r="103" spans="2:10" x14ac:dyDescent="0.35">
      <c r="B103" s="3"/>
      <c r="C103" s="3" t="s">
        <v>67</v>
      </c>
      <c r="D103" s="56">
        <f>IF('Relevanz-Gewichtung-Parameter'!I102="",0,IF('Relevanz-Gewichtung-Parameter'!G102="Ja",'Relevanz-Gewichtung-Parameter'!H102,0))</f>
        <v>0</v>
      </c>
      <c r="E103" s="55"/>
      <c r="F103" s="56" t="e">
        <f>D103/$D$112</f>
        <v>#DIV/0!</v>
      </c>
      <c r="G103" s="57">
        <f>IFERROR(_xlfn.NUMBERVALUE(LEFT('Relevanz-Gewichtung-Parameter'!J102,1)),0)</f>
        <v>0</v>
      </c>
      <c r="H103" s="58" t="e">
        <f>G103*F103</f>
        <v>#DIV/0!</v>
      </c>
      <c r="I103" s="55"/>
      <c r="J103" s="55">
        <f>+IF('Relevanz-Gewichtung-Parameter'!G102="Ja",1,0)</f>
        <v>1</v>
      </c>
    </row>
    <row r="104" spans="2:10" x14ac:dyDescent="0.35">
      <c r="B104" s="3"/>
      <c r="C104" s="3" t="s">
        <v>68</v>
      </c>
      <c r="D104" s="56">
        <f>IF('Relevanz-Gewichtung-Parameter'!I103="",0,IF('Relevanz-Gewichtung-Parameter'!G103="Ja",'Relevanz-Gewichtung-Parameter'!H103,0))</f>
        <v>0</v>
      </c>
      <c r="E104" s="55"/>
      <c r="F104" s="56" t="e">
        <f>D104/$D$112</f>
        <v>#DIV/0!</v>
      </c>
      <c r="G104" s="57">
        <f>IFERROR(_xlfn.NUMBERVALUE(LEFT('Relevanz-Gewichtung-Parameter'!J103,1)),0)</f>
        <v>0</v>
      </c>
      <c r="H104" s="58" t="e">
        <f>G104*F104</f>
        <v>#DIV/0!</v>
      </c>
      <c r="I104" s="55"/>
      <c r="J104" s="55">
        <f>+IF('Relevanz-Gewichtung-Parameter'!G103="Ja",1,0)</f>
        <v>1</v>
      </c>
    </row>
    <row r="105" spans="2:10" ht="14.5" customHeight="1" x14ac:dyDescent="0.35">
      <c r="B105" s="87" t="s">
        <v>124</v>
      </c>
      <c r="C105" s="88"/>
      <c r="D105" s="56"/>
      <c r="E105" s="55"/>
      <c r="F105" s="56"/>
      <c r="G105" s="57"/>
      <c r="H105" s="58"/>
      <c r="I105" s="55"/>
      <c r="J105" s="55">
        <f>+IF('Relevanz-Gewichtung-Parameter'!G104="Ja",1,0)</f>
        <v>0</v>
      </c>
    </row>
    <row r="106" spans="2:10" x14ac:dyDescent="0.35">
      <c r="B106" s="1"/>
      <c r="C106" s="1" t="s">
        <v>191</v>
      </c>
      <c r="D106" s="56">
        <f>IF('Relevanz-Gewichtung-Parameter'!I105="",0,IF('Relevanz-Gewichtung-Parameter'!G105="Ja",'Relevanz-Gewichtung-Parameter'!H105,0))</f>
        <v>0</v>
      </c>
      <c r="E106" s="55"/>
      <c r="F106" s="56" t="e">
        <f>D106/$D$112</f>
        <v>#DIV/0!</v>
      </c>
      <c r="G106" s="57">
        <f>IFERROR(_xlfn.NUMBERVALUE(LEFT('Relevanz-Gewichtung-Parameter'!J105,1)),0)</f>
        <v>0</v>
      </c>
      <c r="H106" s="58" t="e">
        <f>G106*F106</f>
        <v>#DIV/0!</v>
      </c>
      <c r="I106" s="55"/>
      <c r="J106" s="55">
        <f>+IF('Relevanz-Gewichtung-Parameter'!G105="Ja",1,0)</f>
        <v>1</v>
      </c>
    </row>
    <row r="107" spans="2:10" x14ac:dyDescent="0.35">
      <c r="B107" s="1"/>
      <c r="C107" s="1" t="s">
        <v>192</v>
      </c>
      <c r="D107" s="56">
        <f>IF('Relevanz-Gewichtung-Parameter'!I106="",0,IF('Relevanz-Gewichtung-Parameter'!G106="Ja",'Relevanz-Gewichtung-Parameter'!H106,0))</f>
        <v>0</v>
      </c>
      <c r="E107" s="55"/>
      <c r="F107" s="56" t="e">
        <f>D107/$D$112</f>
        <v>#DIV/0!</v>
      </c>
      <c r="G107" s="57">
        <f>IFERROR(_xlfn.NUMBERVALUE(LEFT('Relevanz-Gewichtung-Parameter'!J106,1)),0)</f>
        <v>0</v>
      </c>
      <c r="H107" s="58" t="e">
        <f>G107*F107</f>
        <v>#DIV/0!</v>
      </c>
      <c r="I107" s="55"/>
      <c r="J107" s="55">
        <f>+IF('Relevanz-Gewichtung-Parameter'!G106="Ja",1,0)</f>
        <v>1</v>
      </c>
    </row>
    <row r="108" spans="2:10" ht="14.5" customHeight="1" x14ac:dyDescent="0.35">
      <c r="B108" s="87" t="s">
        <v>71</v>
      </c>
      <c r="C108" s="88"/>
      <c r="D108" s="56"/>
      <c r="E108" s="55"/>
      <c r="F108" s="56"/>
      <c r="G108" s="57"/>
      <c r="H108" s="58"/>
      <c r="I108" s="55"/>
      <c r="J108" s="55">
        <f>+IF('Relevanz-Gewichtung-Parameter'!G107="Ja",1,0)</f>
        <v>0</v>
      </c>
    </row>
    <row r="109" spans="2:10" x14ac:dyDescent="0.35">
      <c r="B109" s="1"/>
      <c r="C109" s="84" t="s">
        <v>193</v>
      </c>
      <c r="D109" s="56">
        <f>IF('Relevanz-Gewichtung-Parameter'!I108="",0,IF('Relevanz-Gewichtung-Parameter'!G108="Ja",'Relevanz-Gewichtung-Parameter'!H108,0))</f>
        <v>0</v>
      </c>
      <c r="E109" s="55"/>
      <c r="F109" s="56" t="e">
        <f>D109/$D$112</f>
        <v>#DIV/0!</v>
      </c>
      <c r="G109" s="57">
        <f>IFERROR(_xlfn.NUMBERVALUE(LEFT('Relevanz-Gewichtung-Parameter'!J108,1)),0)</f>
        <v>0</v>
      </c>
      <c r="H109" s="58" t="e">
        <f>G109*F109</f>
        <v>#DIV/0!</v>
      </c>
      <c r="I109" s="55"/>
      <c r="J109" s="55">
        <f>+IF('Relevanz-Gewichtung-Parameter'!G108="Ja",1,0)</f>
        <v>1</v>
      </c>
    </row>
    <row r="110" spans="2:10" ht="14.5" customHeight="1" x14ac:dyDescent="0.35">
      <c r="B110" s="87" t="s">
        <v>102</v>
      </c>
      <c r="C110" s="88"/>
      <c r="D110" s="56"/>
      <c r="E110" s="55"/>
      <c r="F110" s="56"/>
      <c r="G110" s="57"/>
      <c r="H110" s="58"/>
      <c r="I110" s="55"/>
      <c r="J110" s="55">
        <f>+IF('Relevanz-Gewichtung-Parameter'!G109="Ja",1,0)</f>
        <v>0</v>
      </c>
    </row>
    <row r="111" spans="2:10" x14ac:dyDescent="0.35">
      <c r="B111" s="1"/>
      <c r="C111" s="84" t="s">
        <v>215</v>
      </c>
      <c r="D111" s="56">
        <f>IF('Relevanz-Gewichtung-Parameter'!I110="",0,IF('Relevanz-Gewichtung-Parameter'!G110="Ja",'Relevanz-Gewichtung-Parameter'!H110,0))</f>
        <v>0</v>
      </c>
      <c r="E111" s="55"/>
      <c r="F111" s="56" t="e">
        <f>D111/$D$112</f>
        <v>#DIV/0!</v>
      </c>
      <c r="G111" s="57">
        <f>IFERROR(_xlfn.NUMBERVALUE(LEFT('Relevanz-Gewichtung-Parameter'!J110,1)),0)</f>
        <v>0</v>
      </c>
      <c r="H111" s="58" t="e">
        <f>G111*F111</f>
        <v>#DIV/0!</v>
      </c>
      <c r="I111" s="55"/>
      <c r="J111" s="55">
        <f>+IF('Relevanz-Gewichtung-Parameter'!G110="Ja",1,0)</f>
        <v>1</v>
      </c>
    </row>
    <row r="112" spans="2:10" ht="15" thickBot="1" x14ac:dyDescent="0.4">
      <c r="B112" s="2"/>
      <c r="C112" s="2"/>
      <c r="D112" s="52">
        <f>SUM(D98:D111)</f>
        <v>0</v>
      </c>
      <c r="E112" s="53"/>
      <c r="F112" s="52" t="e">
        <f>SUM(F98:F111)</f>
        <v>#DIV/0!</v>
      </c>
      <c r="G112" s="53"/>
      <c r="H112" s="54" t="e">
        <f>SUM(H98:H111)</f>
        <v>#DIV/0!</v>
      </c>
      <c r="I112" s="53"/>
      <c r="J112" s="53">
        <f>+SUM(J98:J111)</f>
        <v>10</v>
      </c>
    </row>
    <row r="113" spans="2:3" ht="15" thickTop="1" x14ac:dyDescent="0.35">
      <c r="B113" s="2"/>
      <c r="C113" s="2"/>
    </row>
    <row r="114" spans="2:3" x14ac:dyDescent="0.35">
      <c r="B114" s="2"/>
      <c r="C114" s="2"/>
    </row>
    <row r="115" spans="2:3" x14ac:dyDescent="0.35">
      <c r="B115" s="2"/>
      <c r="C115" s="2"/>
    </row>
    <row r="116" spans="2:3" x14ac:dyDescent="0.35">
      <c r="B116" s="2"/>
      <c r="C116" s="2"/>
    </row>
    <row r="117" spans="2:3" x14ac:dyDescent="0.35">
      <c r="B117" s="2"/>
      <c r="C117" s="2"/>
    </row>
    <row r="118" spans="2:3" x14ac:dyDescent="0.35">
      <c r="B118" s="2"/>
      <c r="C118" s="2"/>
    </row>
    <row r="119" spans="2:3" x14ac:dyDescent="0.35">
      <c r="B119" s="2"/>
      <c r="C119" s="2"/>
    </row>
    <row r="120" spans="2:3" x14ac:dyDescent="0.35">
      <c r="B120" s="2"/>
      <c r="C120" s="2"/>
    </row>
    <row r="121" spans="2:3" x14ac:dyDescent="0.35">
      <c r="B121" s="2"/>
      <c r="C121" s="2"/>
    </row>
    <row r="122" spans="2:3" x14ac:dyDescent="0.35">
      <c r="B122" s="2"/>
      <c r="C122" s="2"/>
    </row>
    <row r="123" spans="2:3" x14ac:dyDescent="0.35">
      <c r="B123" s="2"/>
      <c r="C123" s="2"/>
    </row>
    <row r="124" spans="2:3" x14ac:dyDescent="0.35">
      <c r="B124" s="2"/>
      <c r="C124" s="2"/>
    </row>
    <row r="125" spans="2:3" x14ac:dyDescent="0.35">
      <c r="B125" s="2"/>
      <c r="C125" s="2"/>
    </row>
    <row r="126" spans="2:3" x14ac:dyDescent="0.35">
      <c r="B126" s="2"/>
      <c r="C126" s="2"/>
    </row>
    <row r="127" spans="2:3" x14ac:dyDescent="0.35">
      <c r="B127" s="2"/>
      <c r="C127" s="2"/>
    </row>
    <row r="128" spans="2:3" x14ac:dyDescent="0.35">
      <c r="B128" s="2"/>
      <c r="C128" s="2"/>
    </row>
    <row r="129" spans="2:3" x14ac:dyDescent="0.35">
      <c r="B129" s="2"/>
      <c r="C129" s="2"/>
    </row>
    <row r="130" spans="2:3" x14ac:dyDescent="0.35">
      <c r="B130" s="2"/>
      <c r="C130" s="2"/>
    </row>
    <row r="131" spans="2:3" x14ac:dyDescent="0.35">
      <c r="B131" s="2"/>
      <c r="C131" s="2"/>
    </row>
    <row r="132" spans="2:3" x14ac:dyDescent="0.35">
      <c r="B132" s="2"/>
      <c r="C132" s="2"/>
    </row>
    <row r="133" spans="2:3" x14ac:dyDescent="0.35">
      <c r="B133" s="2"/>
      <c r="C133" s="2"/>
    </row>
    <row r="134" spans="2:3" x14ac:dyDescent="0.35">
      <c r="B134" s="2"/>
      <c r="C134" s="2"/>
    </row>
    <row r="135" spans="2:3" x14ac:dyDescent="0.35">
      <c r="B135" s="2"/>
      <c r="C135" s="2"/>
    </row>
    <row r="136" spans="2:3" x14ac:dyDescent="0.35">
      <c r="B136" s="2"/>
      <c r="C136" s="2"/>
    </row>
    <row r="137" spans="2:3" x14ac:dyDescent="0.35">
      <c r="B137" s="2"/>
      <c r="C137" s="2"/>
    </row>
    <row r="138" spans="2:3" x14ac:dyDescent="0.35">
      <c r="B138" s="2"/>
      <c r="C138" s="2"/>
    </row>
    <row r="139" spans="2:3" x14ac:dyDescent="0.35">
      <c r="B139" s="2"/>
      <c r="C139" s="2"/>
    </row>
    <row r="140" spans="2:3" x14ac:dyDescent="0.35">
      <c r="B140" s="2"/>
      <c r="C140" s="2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C9631-8A85-4A81-9E3F-C767FB0EC7FB}">
  <sheetPr>
    <tabColor theme="9" tint="0.79998168889431442"/>
  </sheetPr>
  <dimension ref="B2:K146"/>
  <sheetViews>
    <sheetView showGridLines="0" zoomScale="85" zoomScaleNormal="85" workbookViewId="0">
      <selection activeCell="A91" sqref="A91:XFD95"/>
    </sheetView>
  </sheetViews>
  <sheetFormatPr defaultColWidth="8.7265625" defaultRowHeight="14.5" x14ac:dyDescent="0.35"/>
  <cols>
    <col min="3" max="3" width="21.7265625" bestFit="1" customWidth="1"/>
  </cols>
  <sheetData>
    <row r="2" spans="2:11" x14ac:dyDescent="0.35">
      <c r="B2" s="7" t="s">
        <v>156</v>
      </c>
    </row>
    <row r="4" spans="2:11" x14ac:dyDescent="0.35">
      <c r="B4" s="34" t="s">
        <v>56</v>
      </c>
      <c r="C4" s="27" t="s">
        <v>126</v>
      </c>
      <c r="D4" s="27">
        <v>5</v>
      </c>
      <c r="E4" s="186">
        <v>4</v>
      </c>
      <c r="F4" s="187"/>
      <c r="G4" s="186">
        <v>3</v>
      </c>
      <c r="H4" s="187"/>
      <c r="I4" s="186">
        <v>2</v>
      </c>
      <c r="J4" s="187"/>
      <c r="K4" s="27">
        <v>1</v>
      </c>
    </row>
    <row r="5" spans="2:11" x14ac:dyDescent="0.35">
      <c r="B5" s="33"/>
      <c r="C5" s="28"/>
      <c r="D5" s="30" t="s">
        <v>170</v>
      </c>
      <c r="E5" s="31" t="s">
        <v>169</v>
      </c>
      <c r="F5" s="32" t="s">
        <v>170</v>
      </c>
      <c r="G5" s="31" t="s">
        <v>169</v>
      </c>
      <c r="H5" s="32" t="s">
        <v>170</v>
      </c>
      <c r="I5" s="31" t="s">
        <v>169</v>
      </c>
      <c r="J5" s="32" t="s">
        <v>170</v>
      </c>
      <c r="K5" s="31" t="s">
        <v>169</v>
      </c>
    </row>
    <row r="6" spans="2:11" x14ac:dyDescent="0.35">
      <c r="C6" s="21" t="s">
        <v>151</v>
      </c>
      <c r="D6" s="23"/>
      <c r="E6" s="23"/>
      <c r="F6" s="23"/>
      <c r="G6" s="23"/>
      <c r="H6" s="23"/>
      <c r="I6" s="23"/>
      <c r="J6" s="23"/>
      <c r="K6" s="23"/>
    </row>
    <row r="7" spans="2:11" x14ac:dyDescent="0.35">
      <c r="B7" t="s">
        <v>155</v>
      </c>
      <c r="C7" t="str">
        <f>Meta!B8</f>
        <v>Umsatzwachstum</v>
      </c>
      <c r="D7" s="25">
        <v>0.06</v>
      </c>
      <c r="E7" s="25">
        <v>5.9900000000000002E-2</v>
      </c>
      <c r="F7" s="25">
        <v>0.04</v>
      </c>
      <c r="G7" s="25">
        <v>3.9899999999999998E-2</v>
      </c>
      <c r="H7" s="25">
        <v>0.03</v>
      </c>
      <c r="I7" s="25">
        <v>2.9900000000000003E-2</v>
      </c>
      <c r="J7" s="25">
        <v>0.01</v>
      </c>
      <c r="K7" s="25">
        <v>9.9000000000000008E-3</v>
      </c>
    </row>
    <row r="8" spans="2:11" x14ac:dyDescent="0.35">
      <c r="B8" t="s">
        <v>155</v>
      </c>
      <c r="C8" t="str">
        <f>Meta!B9</f>
        <v xml:space="preserve">Rohertragsmarge-Marge </v>
      </c>
      <c r="D8" s="25">
        <v>0.06</v>
      </c>
      <c r="E8" s="25">
        <v>5.9900000000000002E-2</v>
      </c>
      <c r="F8" s="25">
        <v>0.04</v>
      </c>
      <c r="G8" s="25">
        <v>3.9899999999999998E-2</v>
      </c>
      <c r="H8" s="25">
        <v>0.03</v>
      </c>
      <c r="I8" s="25">
        <v>2.9900000000000003E-2</v>
      </c>
      <c r="J8" s="25">
        <v>0.01</v>
      </c>
      <c r="K8" s="25">
        <v>9.9000000000000008E-3</v>
      </c>
    </row>
    <row r="9" spans="2:11" x14ac:dyDescent="0.35">
      <c r="B9" t="s">
        <v>155</v>
      </c>
      <c r="C9" t="e">
        <f>Meta!#REF!</f>
        <v>#REF!</v>
      </c>
      <c r="D9" s="25">
        <v>0.06</v>
      </c>
      <c r="E9" s="25">
        <v>5.9900000000000002E-2</v>
      </c>
      <c r="F9" s="25">
        <v>0.04</v>
      </c>
      <c r="G9" s="25">
        <v>3.9899999999999998E-2</v>
      </c>
      <c r="H9" s="25">
        <v>0.03</v>
      </c>
      <c r="I9" s="25">
        <v>2.9900000000000003E-2</v>
      </c>
      <c r="J9" s="25">
        <v>0.01</v>
      </c>
      <c r="K9" s="25">
        <v>9.9000000000000008E-3</v>
      </c>
    </row>
    <row r="10" spans="2:11" x14ac:dyDescent="0.35">
      <c r="B10" t="s">
        <v>155</v>
      </c>
      <c r="C10" t="str">
        <f>Meta!B12</f>
        <v xml:space="preserve">EAT-Marge </v>
      </c>
      <c r="D10" s="25">
        <v>0.06</v>
      </c>
      <c r="E10" s="25">
        <v>5.9900000000000002E-2</v>
      </c>
      <c r="F10" s="25">
        <v>0.04</v>
      </c>
      <c r="G10" s="25">
        <v>3.9899999999999998E-2</v>
      </c>
      <c r="H10" s="25">
        <v>0.03</v>
      </c>
      <c r="I10" s="25">
        <v>2.9900000000000003E-2</v>
      </c>
      <c r="J10" s="25">
        <v>0.01</v>
      </c>
      <c r="K10" s="25">
        <v>9.9000000000000008E-3</v>
      </c>
    </row>
    <row r="11" spans="2:11" x14ac:dyDescent="0.35">
      <c r="B11" t="s">
        <v>155</v>
      </c>
      <c r="C11" t="str">
        <f>Meta!B13</f>
        <v>Return on Net Assets (RoNA)</v>
      </c>
      <c r="D11" s="25">
        <v>0.06</v>
      </c>
      <c r="E11" s="25">
        <v>5.9900000000000002E-2</v>
      </c>
      <c r="F11" s="25">
        <v>0.04</v>
      </c>
      <c r="G11" s="25">
        <v>3.9899999999999998E-2</v>
      </c>
      <c r="H11" s="25">
        <v>0.03</v>
      </c>
      <c r="I11" s="25">
        <v>2.9900000000000003E-2</v>
      </c>
      <c r="J11" s="25">
        <v>0.01</v>
      </c>
      <c r="K11" s="25">
        <v>9.9000000000000008E-3</v>
      </c>
    </row>
    <row r="12" spans="2:11" x14ac:dyDescent="0.35">
      <c r="B12" t="s">
        <v>155</v>
      </c>
      <c r="C12" t="e">
        <f>Meta!#REF!</f>
        <v>#REF!</v>
      </c>
      <c r="D12" s="25">
        <v>0.06</v>
      </c>
      <c r="E12" s="25">
        <v>5.9900000000000002E-2</v>
      </c>
      <c r="F12" s="25">
        <v>0.04</v>
      </c>
      <c r="G12" s="25">
        <v>3.9899999999999998E-2</v>
      </c>
      <c r="H12" s="25">
        <v>0.03</v>
      </c>
      <c r="I12" s="25">
        <v>2.9900000000000003E-2</v>
      </c>
      <c r="J12" s="25">
        <v>0.01</v>
      </c>
      <c r="K12" s="25">
        <v>9.9000000000000008E-3</v>
      </c>
    </row>
    <row r="13" spans="2:11" x14ac:dyDescent="0.35">
      <c r="C13" s="21" t="str">
        <f>Meta!B16</f>
        <v>Bilanz</v>
      </c>
      <c r="D13" s="35"/>
      <c r="E13" s="35"/>
      <c r="F13" s="35"/>
      <c r="G13" s="35"/>
      <c r="H13" s="35"/>
      <c r="I13" s="35"/>
      <c r="J13" s="35"/>
      <c r="K13" s="35"/>
    </row>
    <row r="14" spans="2:11" x14ac:dyDescent="0.35">
      <c r="B14" t="s">
        <v>155</v>
      </c>
      <c r="C14" t="str">
        <f>Meta!B17</f>
        <v>Eigenkapital-Quote</v>
      </c>
      <c r="D14" s="25">
        <v>0.06</v>
      </c>
      <c r="E14" s="25">
        <v>5.9900000000000002E-2</v>
      </c>
      <c r="F14" s="25">
        <v>0.04</v>
      </c>
      <c r="G14" s="25">
        <v>3.9899999999999998E-2</v>
      </c>
      <c r="H14" s="25">
        <v>0.03</v>
      </c>
      <c r="I14" s="25">
        <v>2.9900000000000003E-2</v>
      </c>
      <c r="J14" s="25">
        <v>0.01</v>
      </c>
      <c r="K14" s="25">
        <v>9.9000000000000008E-3</v>
      </c>
    </row>
    <row r="15" spans="2:11" x14ac:dyDescent="0.35">
      <c r="B15" t="s">
        <v>155</v>
      </c>
      <c r="C15" t="e">
        <f>Meta!#REF!</f>
        <v>#REF!</v>
      </c>
      <c r="D15" s="25">
        <v>0.06</v>
      </c>
      <c r="E15" s="25">
        <v>5.9900000000000002E-2</v>
      </c>
      <c r="F15" s="25">
        <v>0.04</v>
      </c>
      <c r="G15" s="25">
        <v>3.9899999999999998E-2</v>
      </c>
      <c r="H15" s="25">
        <v>0.03</v>
      </c>
      <c r="I15" s="25">
        <v>2.9900000000000003E-2</v>
      </c>
      <c r="J15" s="25">
        <v>0.01</v>
      </c>
      <c r="K15" s="25">
        <v>9.9000000000000008E-3</v>
      </c>
    </row>
    <row r="16" spans="2:11" x14ac:dyDescent="0.35">
      <c r="B16" t="s">
        <v>155</v>
      </c>
      <c r="C16" t="str">
        <f>Meta!B20</f>
        <v>Eigenkapital absolut (&gt;&lt;0)</v>
      </c>
      <c r="D16" s="25">
        <v>0.06</v>
      </c>
      <c r="E16" s="25">
        <v>5.9900000000000002E-2</v>
      </c>
      <c r="F16" s="25">
        <v>0.04</v>
      </c>
      <c r="G16" s="25">
        <v>3.9899999999999998E-2</v>
      </c>
      <c r="H16" s="25">
        <v>0.03</v>
      </c>
      <c r="I16" s="25">
        <v>2.9900000000000003E-2</v>
      </c>
      <c r="J16" s="25">
        <v>0.01</v>
      </c>
      <c r="K16" s="25">
        <v>9.9000000000000008E-3</v>
      </c>
    </row>
    <row r="17" spans="2:11" x14ac:dyDescent="0.35">
      <c r="C17" s="21" t="str">
        <f>Meta!B21</f>
        <v>Working Capital</v>
      </c>
      <c r="D17" s="35"/>
      <c r="E17" s="35"/>
      <c r="F17" s="35"/>
      <c r="G17" s="35"/>
      <c r="H17" s="35"/>
      <c r="I17" s="35"/>
      <c r="J17" s="35"/>
      <c r="K17" s="35"/>
    </row>
    <row r="18" spans="2:11" x14ac:dyDescent="0.35">
      <c r="B18" t="s">
        <v>155</v>
      </c>
      <c r="C18" t="str">
        <f>Meta!B22</f>
        <v xml:space="preserve">Cash Conversion Cycle </v>
      </c>
      <c r="D18" s="25">
        <v>0.06</v>
      </c>
      <c r="E18" s="25">
        <v>5.9900000000000002E-2</v>
      </c>
      <c r="F18" s="25">
        <v>0.04</v>
      </c>
      <c r="G18" s="25">
        <v>3.9899999999999998E-2</v>
      </c>
      <c r="H18" s="25">
        <v>0.03</v>
      </c>
      <c r="I18" s="25">
        <v>2.9900000000000003E-2</v>
      </c>
      <c r="J18" s="25">
        <v>0.01</v>
      </c>
      <c r="K18" s="25">
        <v>9.9000000000000008E-3</v>
      </c>
    </row>
    <row r="19" spans="2:11" x14ac:dyDescent="0.35">
      <c r="B19" t="s">
        <v>155</v>
      </c>
      <c r="C19" t="str">
        <f>Meta!B23</f>
        <v>Days Sales Outstanding (Debitorenreichweite)</v>
      </c>
      <c r="D19" s="25">
        <v>0.06</v>
      </c>
      <c r="E19" s="25">
        <v>5.9900000000000002E-2</v>
      </c>
      <c r="F19" s="25">
        <v>0.04</v>
      </c>
      <c r="G19" s="25">
        <v>3.9899999999999998E-2</v>
      </c>
      <c r="H19" s="25">
        <v>0.03</v>
      </c>
      <c r="I19" s="25">
        <v>2.9900000000000003E-2</v>
      </c>
      <c r="J19" s="25">
        <v>0.01</v>
      </c>
      <c r="K19" s="25">
        <v>9.9000000000000008E-3</v>
      </c>
    </row>
    <row r="20" spans="2:11" x14ac:dyDescent="0.35">
      <c r="B20" t="s">
        <v>155</v>
      </c>
      <c r="C20" t="str">
        <f>Meta!B24</f>
        <v>Days Payables Outstanding (Kreditorenreichweite)</v>
      </c>
      <c r="D20" s="25">
        <v>0.06</v>
      </c>
      <c r="E20" s="25">
        <v>5.9900000000000002E-2</v>
      </c>
      <c r="F20" s="25">
        <v>0.04</v>
      </c>
      <c r="G20" s="25">
        <v>3.9899999999999998E-2</v>
      </c>
      <c r="H20" s="25">
        <v>0.03</v>
      </c>
      <c r="I20" s="25">
        <v>2.9900000000000003E-2</v>
      </c>
      <c r="J20" s="25">
        <v>0.01</v>
      </c>
      <c r="K20" s="25">
        <v>9.9000000000000008E-3</v>
      </c>
    </row>
    <row r="21" spans="2:11" x14ac:dyDescent="0.35">
      <c r="B21" t="s">
        <v>155</v>
      </c>
      <c r="C21" t="str">
        <f>Meta!B25</f>
        <v>Days Inventory Outstanding (Lagerreichweite)</v>
      </c>
      <c r="D21" s="25">
        <v>0.06</v>
      </c>
      <c r="E21" s="25">
        <v>5.9900000000000002E-2</v>
      </c>
      <c r="F21" s="25">
        <v>0.04</v>
      </c>
      <c r="G21" s="25">
        <v>3.9899999999999998E-2</v>
      </c>
      <c r="H21" s="25">
        <v>0.03</v>
      </c>
      <c r="I21" s="25">
        <v>2.9900000000000003E-2</v>
      </c>
      <c r="J21" s="25">
        <v>0.01</v>
      </c>
      <c r="K21" s="25">
        <v>9.9000000000000008E-3</v>
      </c>
    </row>
    <row r="22" spans="2:11" x14ac:dyDescent="0.35">
      <c r="C22" s="21" t="str">
        <f>Meta!B26</f>
        <v>Liquidität</v>
      </c>
      <c r="D22" s="35"/>
      <c r="E22" s="35"/>
      <c r="F22" s="35"/>
      <c r="G22" s="35"/>
      <c r="H22" s="35"/>
      <c r="I22" s="35"/>
      <c r="J22" s="35"/>
      <c r="K22" s="35"/>
    </row>
    <row r="23" spans="2:11" x14ac:dyDescent="0.35">
      <c r="B23" t="s">
        <v>155</v>
      </c>
      <c r="C23" t="str">
        <f>Meta!B27</f>
        <v>Cash Ratio</v>
      </c>
      <c r="D23" s="25">
        <v>0.06</v>
      </c>
      <c r="E23" s="25">
        <v>5.9900000000000002E-2</v>
      </c>
      <c r="F23" s="25">
        <v>0.04</v>
      </c>
      <c r="G23" s="25">
        <v>3.9899999999999998E-2</v>
      </c>
      <c r="H23" s="25">
        <v>0.03</v>
      </c>
      <c r="I23" s="25">
        <v>2.9900000000000003E-2</v>
      </c>
      <c r="J23" s="25">
        <v>0.01</v>
      </c>
      <c r="K23" s="25">
        <v>9.9000000000000008E-3</v>
      </c>
    </row>
    <row r="24" spans="2:11" x14ac:dyDescent="0.35">
      <c r="B24" t="s">
        <v>155</v>
      </c>
      <c r="C24" t="str">
        <f>Meta!B28</f>
        <v>Quick Ratio</v>
      </c>
      <c r="D24" s="25">
        <v>0.06</v>
      </c>
      <c r="E24" s="25">
        <v>5.9900000000000002E-2</v>
      </c>
      <c r="F24" s="25">
        <v>0.04</v>
      </c>
      <c r="G24" s="25">
        <v>3.9899999999999998E-2</v>
      </c>
      <c r="H24" s="25">
        <v>0.03</v>
      </c>
      <c r="I24" s="25">
        <v>2.9900000000000003E-2</v>
      </c>
      <c r="J24" s="25">
        <v>0.01</v>
      </c>
      <c r="K24" s="25">
        <v>9.9000000000000008E-3</v>
      </c>
    </row>
    <row r="25" spans="2:11" x14ac:dyDescent="0.35">
      <c r="B25" t="s">
        <v>155</v>
      </c>
      <c r="C25" t="str">
        <f>Meta!B29</f>
        <v>Cash Conversion</v>
      </c>
      <c r="D25" s="25">
        <v>0.06</v>
      </c>
      <c r="E25" s="25">
        <v>5.9900000000000002E-2</v>
      </c>
      <c r="F25" s="25">
        <v>0.04</v>
      </c>
      <c r="G25" s="25">
        <v>3.9899999999999998E-2</v>
      </c>
      <c r="H25" s="25">
        <v>0.03</v>
      </c>
      <c r="I25" s="25">
        <v>2.9900000000000003E-2</v>
      </c>
      <c r="J25" s="25">
        <v>0.01</v>
      </c>
      <c r="K25" s="25">
        <v>9.9000000000000008E-3</v>
      </c>
    </row>
    <row r="26" spans="2:11" x14ac:dyDescent="0.35">
      <c r="B26" t="s">
        <v>155</v>
      </c>
      <c r="C26" t="str">
        <f>Meta!B30</f>
        <v>Net Working Capital-Intensität</v>
      </c>
      <c r="D26" s="25">
        <v>0.06</v>
      </c>
      <c r="E26" s="25">
        <v>5.9900000000000002E-2</v>
      </c>
      <c r="F26" s="25">
        <v>0.04</v>
      </c>
      <c r="G26" s="25">
        <v>3.9899999999999998E-2</v>
      </c>
      <c r="H26" s="25">
        <v>0.03</v>
      </c>
      <c r="I26" s="25">
        <v>2.9900000000000003E-2</v>
      </c>
      <c r="J26" s="25">
        <v>0.01</v>
      </c>
      <c r="K26" s="25">
        <v>9.9000000000000008E-3</v>
      </c>
    </row>
    <row r="27" spans="2:11" x14ac:dyDescent="0.35">
      <c r="B27" t="s">
        <v>155</v>
      </c>
      <c r="C27" t="str">
        <f>Meta!B31</f>
        <v>Operativer Cash Flow</v>
      </c>
      <c r="D27" s="25">
        <v>0.06</v>
      </c>
      <c r="E27" s="25">
        <v>5.9900000000000002E-2</v>
      </c>
      <c r="F27" s="25">
        <v>0.04</v>
      </c>
      <c r="G27" s="25">
        <v>3.9899999999999998E-2</v>
      </c>
      <c r="H27" s="25">
        <v>0.03</v>
      </c>
      <c r="I27" s="25">
        <v>2.9900000000000003E-2</v>
      </c>
      <c r="J27" s="25">
        <v>0.01</v>
      </c>
      <c r="K27" s="25">
        <v>9.9000000000000008E-3</v>
      </c>
    </row>
    <row r="28" spans="2:11" x14ac:dyDescent="0.35">
      <c r="B28" t="s">
        <v>155</v>
      </c>
      <c r="C28" t="str">
        <f>Meta!B32</f>
        <v>Free Cash Flow</v>
      </c>
      <c r="D28" s="25">
        <v>0.06</v>
      </c>
      <c r="E28" s="25">
        <v>5.9900000000000002E-2</v>
      </c>
      <c r="F28" s="25">
        <v>0.04</v>
      </c>
      <c r="G28" s="25">
        <v>3.9899999999999998E-2</v>
      </c>
      <c r="H28" s="25">
        <v>0.03</v>
      </c>
      <c r="I28" s="25">
        <v>2.9900000000000003E-2</v>
      </c>
      <c r="J28" s="25">
        <v>0.01</v>
      </c>
      <c r="K28" s="25">
        <v>9.9000000000000008E-3</v>
      </c>
    </row>
    <row r="29" spans="2:11" x14ac:dyDescent="0.35">
      <c r="B29" t="s">
        <v>155</v>
      </c>
      <c r="C29" t="str">
        <f>Meta!B33</f>
        <v>Net Cash Flow</v>
      </c>
      <c r="D29" s="25">
        <v>0.06</v>
      </c>
      <c r="E29" s="25">
        <v>5.9900000000000002E-2</v>
      </c>
      <c r="F29" s="25">
        <v>0.04</v>
      </c>
      <c r="G29" s="25">
        <v>3.9899999999999998E-2</v>
      </c>
      <c r="H29" s="25">
        <v>0.03</v>
      </c>
      <c r="I29" s="25">
        <v>2.9900000000000003E-2</v>
      </c>
      <c r="J29" s="25">
        <v>0.01</v>
      </c>
      <c r="K29" s="25">
        <v>9.9000000000000008E-3</v>
      </c>
    </row>
    <row r="30" spans="2:11" x14ac:dyDescent="0.35">
      <c r="C30" s="21" t="str">
        <f>Meta!B34</f>
        <v>Finanzierungssituation</v>
      </c>
      <c r="D30" s="35"/>
      <c r="E30" s="35"/>
      <c r="F30" s="35"/>
      <c r="G30" s="35"/>
      <c r="H30" s="35"/>
      <c r="I30" s="35"/>
      <c r="J30" s="35"/>
      <c r="K30" s="35"/>
    </row>
    <row r="31" spans="2:11" x14ac:dyDescent="0.35">
      <c r="B31" t="s">
        <v>155</v>
      </c>
      <c r="C31" t="str">
        <f>Meta!B35</f>
        <v>Covenant Compliance in den letzten 12 Monaten</v>
      </c>
      <c r="D31" s="25">
        <v>0.06</v>
      </c>
      <c r="E31" s="25">
        <v>5.9900000000000002E-2</v>
      </c>
      <c r="F31" s="25">
        <v>0.04</v>
      </c>
      <c r="G31" s="25">
        <v>3.9899999999999998E-2</v>
      </c>
      <c r="H31" s="25">
        <v>0.03</v>
      </c>
      <c r="I31" s="25">
        <v>2.9900000000000003E-2</v>
      </c>
      <c r="J31" s="25">
        <v>0.01</v>
      </c>
      <c r="K31" s="25">
        <v>9.9000000000000008E-3</v>
      </c>
    </row>
    <row r="32" spans="2:11" x14ac:dyDescent="0.35">
      <c r="B32" t="s">
        <v>155</v>
      </c>
      <c r="C32" t="str">
        <f>Meta!B36</f>
        <v>(Materielle) Waiver-Anträge in den letzten 12 Monaten?</v>
      </c>
      <c r="D32" s="25">
        <v>0.06</v>
      </c>
      <c r="E32" s="25">
        <v>5.9900000000000002E-2</v>
      </c>
      <c r="F32" s="25">
        <v>0.04</v>
      </c>
      <c r="G32" s="25">
        <v>3.9899999999999998E-2</v>
      </c>
      <c r="H32" s="25">
        <v>0.03</v>
      </c>
      <c r="I32" s="25">
        <v>2.9900000000000003E-2</v>
      </c>
      <c r="J32" s="25">
        <v>0.01</v>
      </c>
      <c r="K32" s="25">
        <v>9.9000000000000008E-3</v>
      </c>
    </row>
    <row r="33" spans="2:11" x14ac:dyDescent="0.35">
      <c r="B33" t="s">
        <v>155</v>
      </c>
      <c r="C33" t="str">
        <f>Meta!B37</f>
        <v>Prolongationen in den nächsten 12 Monaten</v>
      </c>
      <c r="D33" s="25">
        <v>0.06</v>
      </c>
      <c r="E33" s="25">
        <v>5.9900000000000002E-2</v>
      </c>
      <c r="F33" s="25">
        <v>0.04</v>
      </c>
      <c r="G33" s="25">
        <v>3.9899999999999998E-2</v>
      </c>
      <c r="H33" s="25">
        <v>0.03</v>
      </c>
      <c r="I33" s="25">
        <v>2.9900000000000003E-2</v>
      </c>
      <c r="J33" s="25">
        <v>0.01</v>
      </c>
      <c r="K33" s="25">
        <v>9.9000000000000008E-3</v>
      </c>
    </row>
    <row r="34" spans="2:11" x14ac:dyDescent="0.35">
      <c r="B34" t="s">
        <v>155</v>
      </c>
      <c r="C34" t="str">
        <f>Meta!B38</f>
        <v>Refinanzierungen in den nächsten 12 Monaten</v>
      </c>
      <c r="D34" s="25">
        <v>0.06</v>
      </c>
      <c r="E34" s="25">
        <v>5.9900000000000002E-2</v>
      </c>
      <c r="F34" s="25">
        <v>0.04</v>
      </c>
      <c r="G34" s="25">
        <v>3.9899999999999998E-2</v>
      </c>
      <c r="H34" s="25">
        <v>0.03</v>
      </c>
      <c r="I34" s="25">
        <v>2.9900000000000003E-2</v>
      </c>
      <c r="J34" s="25">
        <v>0.01</v>
      </c>
      <c r="K34" s="25">
        <v>9.9000000000000008E-3</v>
      </c>
    </row>
    <row r="35" spans="2:11" x14ac:dyDescent="0.35">
      <c r="B35" t="s">
        <v>155</v>
      </c>
      <c r="C35" t="str">
        <f>Meta!B39</f>
        <v>Intensivkreditbetreuung einer Bank involviert?</v>
      </c>
      <c r="D35" s="25">
        <v>0.06</v>
      </c>
      <c r="E35" s="25">
        <v>5.9900000000000002E-2</v>
      </c>
      <c r="F35" s="25">
        <v>0.04</v>
      </c>
      <c r="G35" s="25">
        <v>3.9899999999999998E-2</v>
      </c>
      <c r="H35" s="25">
        <v>0.03</v>
      </c>
      <c r="I35" s="25">
        <v>2.9900000000000003E-2</v>
      </c>
      <c r="J35" s="25">
        <v>0.01</v>
      </c>
      <c r="K35" s="25">
        <v>9.9000000000000008E-3</v>
      </c>
    </row>
    <row r="36" spans="2:11" x14ac:dyDescent="0.35">
      <c r="B36" t="s">
        <v>155</v>
      </c>
      <c r="C36" t="str">
        <f>Meta!B40</f>
        <v>Netto-Verschuldungsgrad</v>
      </c>
      <c r="D36" s="25">
        <v>0.06</v>
      </c>
      <c r="E36" s="25">
        <v>5.9900000000000002E-2</v>
      </c>
      <c r="F36" s="25">
        <v>0.04</v>
      </c>
      <c r="G36" s="25">
        <v>3.9899999999999998E-2</v>
      </c>
      <c r="H36" s="25">
        <v>0.03</v>
      </c>
      <c r="I36" s="25">
        <v>2.9900000000000003E-2</v>
      </c>
      <c r="J36" s="25">
        <v>0.01</v>
      </c>
      <c r="K36" s="25">
        <v>9.9000000000000008E-3</v>
      </c>
    </row>
    <row r="37" spans="2:11" x14ac:dyDescent="0.35">
      <c r="B37" t="s">
        <v>155</v>
      </c>
      <c r="C37" t="str">
        <f>Meta!B41</f>
        <v>Integrierte Unternehmensplanung</v>
      </c>
      <c r="D37" s="25">
        <v>0.06</v>
      </c>
      <c r="E37" s="25">
        <v>5.9900000000000002E-2</v>
      </c>
      <c r="F37" s="25">
        <v>0.04</v>
      </c>
      <c r="G37" s="25">
        <v>3.9899999999999998E-2</v>
      </c>
      <c r="H37" s="25">
        <v>0.03</v>
      </c>
      <c r="I37" s="25">
        <v>2.9900000000000003E-2</v>
      </c>
      <c r="J37" s="25">
        <v>0.01</v>
      </c>
      <c r="K37" s="25">
        <v>9.9000000000000008E-3</v>
      </c>
    </row>
    <row r="38" spans="2:11" x14ac:dyDescent="0.35">
      <c r="B38" t="s">
        <v>155</v>
      </c>
      <c r="C38" t="str">
        <f>Meta!B42</f>
        <v>Planung für die nächsten mind. 2 Geschäftsjahre</v>
      </c>
      <c r="D38" s="25">
        <v>0.06</v>
      </c>
      <c r="E38" s="25">
        <v>5.9900000000000002E-2</v>
      </c>
      <c r="F38" s="25">
        <v>0.04</v>
      </c>
      <c r="G38" s="25">
        <v>3.9899999999999998E-2</v>
      </c>
      <c r="H38" s="25">
        <v>0.03</v>
      </c>
      <c r="I38" s="25">
        <v>2.9900000000000003E-2</v>
      </c>
      <c r="J38" s="25">
        <v>0.01</v>
      </c>
      <c r="K38" s="25">
        <v>9.9000000000000008E-3</v>
      </c>
    </row>
    <row r="39" spans="2:11" x14ac:dyDescent="0.35">
      <c r="B39" t="s">
        <v>155</v>
      </c>
      <c r="C39" t="str">
        <f>Meta!B43</f>
        <v>Planung erfolgt auf Monatsbasis?</v>
      </c>
      <c r="D39" s="25">
        <v>0.06</v>
      </c>
      <c r="E39" s="25">
        <v>5.9900000000000002E-2</v>
      </c>
      <c r="F39" s="25">
        <v>0.04</v>
      </c>
      <c r="G39" s="25">
        <v>3.9899999999999998E-2</v>
      </c>
      <c r="H39" s="25">
        <v>0.03</v>
      </c>
      <c r="I39" s="25">
        <v>2.9900000000000003E-2</v>
      </c>
      <c r="J39" s="25">
        <v>0.01</v>
      </c>
      <c r="K39" s="25">
        <v>9.9000000000000008E-3</v>
      </c>
    </row>
    <row r="40" spans="2:11" x14ac:dyDescent="0.35">
      <c r="B40" t="s">
        <v>155</v>
      </c>
      <c r="C40" t="str">
        <f>Meta!B44</f>
        <v>Interest Coverage Ratio</v>
      </c>
      <c r="D40" s="25">
        <v>0.06</v>
      </c>
      <c r="E40" s="25">
        <v>5.9900000000000002E-2</v>
      </c>
      <c r="F40" s="25">
        <v>0.04</v>
      </c>
      <c r="G40" s="25">
        <v>3.9899999999999998E-2</v>
      </c>
      <c r="H40" s="25">
        <v>0.03</v>
      </c>
      <c r="I40" s="25">
        <v>2.9900000000000003E-2</v>
      </c>
      <c r="J40" s="25">
        <v>0.01</v>
      </c>
      <c r="K40" s="25">
        <v>9.9000000000000008E-3</v>
      </c>
    </row>
    <row r="41" spans="2:11" x14ac:dyDescent="0.35">
      <c r="C41" s="21" t="str">
        <f>Meta!B45</f>
        <v>Qualitative Faktoren</v>
      </c>
      <c r="D41" s="35"/>
      <c r="E41" s="35"/>
      <c r="F41" s="35"/>
      <c r="G41" s="35"/>
      <c r="H41" s="35"/>
      <c r="I41" s="35"/>
      <c r="J41" s="35"/>
      <c r="K41" s="35"/>
    </row>
    <row r="42" spans="2:11" x14ac:dyDescent="0.35">
      <c r="B42" t="s">
        <v>155</v>
      </c>
      <c r="C42" t="str">
        <f>Meta!B46</f>
        <v>1. Führungsebene</v>
      </c>
      <c r="D42" s="25">
        <v>0.06</v>
      </c>
      <c r="E42" s="25">
        <v>5.9900000000000002E-2</v>
      </c>
      <c r="F42" s="25">
        <v>0.04</v>
      </c>
      <c r="G42" s="25">
        <v>3.9899999999999998E-2</v>
      </c>
      <c r="H42" s="25">
        <v>0.03</v>
      </c>
      <c r="I42" s="25">
        <v>2.9900000000000003E-2</v>
      </c>
      <c r="J42" s="25">
        <v>0.01</v>
      </c>
      <c r="K42" s="25">
        <v>9.9000000000000008E-3</v>
      </c>
    </row>
    <row r="43" spans="2:11" x14ac:dyDescent="0.35">
      <c r="B43" t="s">
        <v>155</v>
      </c>
      <c r="C43" t="str">
        <f>Meta!B47</f>
        <v>2. Führungsebene</v>
      </c>
      <c r="D43" s="25">
        <v>0.06</v>
      </c>
      <c r="E43" s="25">
        <v>5.9900000000000002E-2</v>
      </c>
      <c r="F43" s="25">
        <v>0.04</v>
      </c>
      <c r="G43" s="25">
        <v>3.9899999999999998E-2</v>
      </c>
      <c r="H43" s="25">
        <v>0.03</v>
      </c>
      <c r="I43" s="25">
        <v>2.9900000000000003E-2</v>
      </c>
      <c r="J43" s="25">
        <v>0.01</v>
      </c>
      <c r="K43" s="25">
        <v>9.9000000000000008E-3</v>
      </c>
    </row>
    <row r="44" spans="2:11" x14ac:dyDescent="0.35">
      <c r="B44" t="s">
        <v>155</v>
      </c>
      <c r="C44" t="str">
        <f>Meta!B48</f>
        <v>Preis</v>
      </c>
      <c r="D44" s="25">
        <v>0.06</v>
      </c>
      <c r="E44" s="25">
        <v>5.9900000000000002E-2</v>
      </c>
      <c r="F44" s="25">
        <v>0.04</v>
      </c>
      <c r="G44" s="25">
        <v>3.9899999999999998E-2</v>
      </c>
      <c r="H44" s="25">
        <v>0.03</v>
      </c>
      <c r="I44" s="25">
        <v>2.9900000000000003E-2</v>
      </c>
      <c r="J44" s="25">
        <v>0.01</v>
      </c>
      <c r="K44" s="25">
        <v>9.9000000000000008E-3</v>
      </c>
    </row>
    <row r="45" spans="2:11" x14ac:dyDescent="0.35">
      <c r="B45" t="s">
        <v>155</v>
      </c>
      <c r="C45" t="str">
        <f>Meta!B49</f>
        <v>Produktspektrum</v>
      </c>
      <c r="D45" s="25">
        <v>0.06</v>
      </c>
      <c r="E45" s="25">
        <v>5.9900000000000002E-2</v>
      </c>
      <c r="F45" s="25">
        <v>0.04</v>
      </c>
      <c r="G45" s="25">
        <v>3.9899999999999998E-2</v>
      </c>
      <c r="H45" s="25">
        <v>0.03</v>
      </c>
      <c r="I45" s="25">
        <v>2.9900000000000003E-2</v>
      </c>
      <c r="J45" s="25">
        <v>0.01</v>
      </c>
      <c r="K45" s="25">
        <v>9.9000000000000008E-3</v>
      </c>
    </row>
    <row r="46" spans="2:11" x14ac:dyDescent="0.35">
      <c r="B46" t="s">
        <v>155</v>
      </c>
      <c r="C46" t="str">
        <f>Meta!B50</f>
        <v>Geographische Märkte</v>
      </c>
      <c r="D46" s="25">
        <v>0.06</v>
      </c>
      <c r="E46" s="25">
        <v>5.9900000000000002E-2</v>
      </c>
      <c r="F46" s="25">
        <v>0.04</v>
      </c>
      <c r="G46" s="25">
        <v>3.9899999999999998E-2</v>
      </c>
      <c r="H46" s="25">
        <v>0.03</v>
      </c>
      <c r="I46" s="25">
        <v>2.9900000000000003E-2</v>
      </c>
      <c r="J46" s="25">
        <v>0.01</v>
      </c>
      <c r="K46" s="25">
        <v>9.9000000000000008E-3</v>
      </c>
    </row>
    <row r="47" spans="2:11" x14ac:dyDescent="0.35">
      <c r="B47" t="s">
        <v>155</v>
      </c>
      <c r="C47" t="str">
        <f>Meta!B51</f>
        <v>Produktqualität</v>
      </c>
      <c r="D47" s="25">
        <v>0.06</v>
      </c>
      <c r="E47" s="25">
        <v>5.9900000000000002E-2</v>
      </c>
      <c r="F47" s="25">
        <v>0.04</v>
      </c>
      <c r="G47" s="25">
        <v>3.9899999999999998E-2</v>
      </c>
      <c r="H47" s="25">
        <v>0.03</v>
      </c>
      <c r="I47" s="25">
        <v>2.9900000000000003E-2</v>
      </c>
      <c r="J47" s="25">
        <v>0.01</v>
      </c>
      <c r="K47" s="25">
        <v>9.9000000000000008E-3</v>
      </c>
    </row>
    <row r="48" spans="2:11" x14ac:dyDescent="0.35">
      <c r="B48" t="s">
        <v>155</v>
      </c>
      <c r="C48" t="str">
        <f>Meta!B54</f>
        <v>Umsatz mit Top 5 Kunden</v>
      </c>
      <c r="D48" s="25">
        <v>0.06</v>
      </c>
      <c r="E48" s="25">
        <v>5.9900000000000002E-2</v>
      </c>
      <c r="F48" s="25">
        <v>0.04</v>
      </c>
      <c r="G48" s="25">
        <v>3.9899999999999998E-2</v>
      </c>
      <c r="H48" s="25">
        <v>0.03</v>
      </c>
      <c r="I48" s="25">
        <v>2.9900000000000003E-2</v>
      </c>
      <c r="J48" s="25">
        <v>0.01</v>
      </c>
      <c r="K48" s="25">
        <v>9.9000000000000008E-3</v>
      </c>
    </row>
    <row r="49" spans="2:11" x14ac:dyDescent="0.35">
      <c r="B49" t="s">
        <v>155</v>
      </c>
      <c r="C49" t="str">
        <f>Meta!B55</f>
        <v>Volumen mit Top 5 Lieferanten</v>
      </c>
      <c r="D49" s="25">
        <v>0.06</v>
      </c>
      <c r="E49" s="25">
        <v>5.9900000000000002E-2</v>
      </c>
      <c r="F49" s="25">
        <v>0.04</v>
      </c>
      <c r="G49" s="25">
        <v>3.9899999999999998E-2</v>
      </c>
      <c r="H49" s="25">
        <v>0.03</v>
      </c>
      <c r="I49" s="25">
        <v>2.9900000000000003E-2</v>
      </c>
      <c r="J49" s="25">
        <v>0.01</v>
      </c>
      <c r="K49" s="25">
        <v>9.9000000000000008E-3</v>
      </c>
    </row>
    <row r="50" spans="2:11" x14ac:dyDescent="0.35">
      <c r="D50" s="25">
        <v>0.06</v>
      </c>
      <c r="E50" s="25">
        <v>5.9900000000000002E-2</v>
      </c>
      <c r="F50" s="25">
        <v>0.04</v>
      </c>
      <c r="G50" s="25">
        <v>3.9899999999999998E-2</v>
      </c>
      <c r="H50" s="25">
        <v>0.03</v>
      </c>
      <c r="I50" s="25">
        <v>2.9900000000000003E-2</v>
      </c>
      <c r="J50" s="25">
        <v>0.01</v>
      </c>
      <c r="K50" s="25">
        <v>9.9000000000000008E-3</v>
      </c>
    </row>
    <row r="53" spans="2:11" x14ac:dyDescent="0.35">
      <c r="B53" s="5" t="s">
        <v>56</v>
      </c>
      <c r="C53" s="5" t="s">
        <v>126</v>
      </c>
      <c r="D53" s="5">
        <v>5</v>
      </c>
      <c r="E53" s="5">
        <v>4</v>
      </c>
      <c r="F53" s="5"/>
      <c r="G53" s="5">
        <v>3</v>
      </c>
      <c r="H53" s="5"/>
      <c r="I53" s="5">
        <v>2</v>
      </c>
      <c r="J53" s="5"/>
      <c r="K53" s="5">
        <v>1</v>
      </c>
    </row>
    <row r="54" spans="2:11" x14ac:dyDescent="0.35">
      <c r="C54" s="21" t="s">
        <v>151</v>
      </c>
      <c r="D54" s="23"/>
      <c r="E54" s="23"/>
      <c r="F54" s="23"/>
      <c r="G54" s="23"/>
      <c r="H54" s="23"/>
      <c r="I54" s="23"/>
      <c r="J54" s="23"/>
      <c r="K54" s="23"/>
    </row>
    <row r="55" spans="2:11" x14ac:dyDescent="0.35">
      <c r="B55" t="s">
        <v>158</v>
      </c>
      <c r="C55" t="str">
        <f>Meta!B8</f>
        <v>Umsatzwachstum</v>
      </c>
      <c r="D55" s="17">
        <f>D7+1%</f>
        <v>6.9999999999999993E-2</v>
      </c>
      <c r="E55" s="17">
        <f>E7+1%</f>
        <v>6.9900000000000004E-2</v>
      </c>
      <c r="F55" s="17"/>
      <c r="G55" s="17">
        <f>G7+1%</f>
        <v>4.99E-2</v>
      </c>
      <c r="H55" s="17"/>
      <c r="I55" s="17">
        <f>I7+1%</f>
        <v>3.9900000000000005E-2</v>
      </c>
      <c r="J55" s="17"/>
      <c r="K55" s="17">
        <f>K7+1%</f>
        <v>1.9900000000000001E-2</v>
      </c>
    </row>
    <row r="56" spans="2:11" x14ac:dyDescent="0.35">
      <c r="B56" t="s">
        <v>158</v>
      </c>
      <c r="C56" t="str">
        <f>Meta!B9</f>
        <v xml:space="preserve">Rohertragsmarge-Marge </v>
      </c>
    </row>
    <row r="57" spans="2:11" x14ac:dyDescent="0.35">
      <c r="B57" t="s">
        <v>158</v>
      </c>
      <c r="C57" t="e">
        <f>Meta!#REF!</f>
        <v>#REF!</v>
      </c>
    </row>
    <row r="58" spans="2:11" x14ac:dyDescent="0.35">
      <c r="B58" t="s">
        <v>158</v>
      </c>
      <c r="C58" t="str">
        <f>Meta!B11</f>
        <v xml:space="preserve">EBIT-Marge </v>
      </c>
    </row>
    <row r="59" spans="2:11" x14ac:dyDescent="0.35">
      <c r="B59" t="s">
        <v>158</v>
      </c>
      <c r="C59" t="str">
        <f>Meta!B12</f>
        <v xml:space="preserve">EAT-Marge </v>
      </c>
    </row>
    <row r="60" spans="2:11" x14ac:dyDescent="0.35">
      <c r="B60" t="s">
        <v>158</v>
      </c>
      <c r="C60" t="str">
        <f>Meta!B13</f>
        <v>Return on Net Assets (RoNA)</v>
      </c>
    </row>
    <row r="61" spans="2:11" x14ac:dyDescent="0.35">
      <c r="B61" t="s">
        <v>158</v>
      </c>
      <c r="C61" t="e">
        <f>Meta!#REF!</f>
        <v>#REF!</v>
      </c>
    </row>
    <row r="62" spans="2:11" x14ac:dyDescent="0.35">
      <c r="B62" t="s">
        <v>158</v>
      </c>
      <c r="C62" t="str">
        <f>Meta!B15</f>
        <v xml:space="preserve">Return on Equity (ROE) </v>
      </c>
    </row>
    <row r="63" spans="2:11" x14ac:dyDescent="0.35">
      <c r="C63" s="21" t="str">
        <f>Meta!B16</f>
        <v>Bilanz</v>
      </c>
      <c r="D63" s="23"/>
      <c r="E63" s="23"/>
      <c r="F63" s="23"/>
      <c r="G63" s="23"/>
      <c r="H63" s="23"/>
      <c r="I63" s="23"/>
      <c r="J63" s="23"/>
      <c r="K63" s="23"/>
    </row>
    <row r="64" spans="2:11" x14ac:dyDescent="0.35">
      <c r="B64" t="s">
        <v>158</v>
      </c>
      <c r="C64" t="str">
        <f>Meta!B17</f>
        <v>Eigenkapital-Quote</v>
      </c>
    </row>
    <row r="65" spans="2:11" x14ac:dyDescent="0.35">
      <c r="B65" t="s">
        <v>158</v>
      </c>
      <c r="C65" t="e">
        <f>Meta!#REF!</f>
        <v>#REF!</v>
      </c>
    </row>
    <row r="66" spans="2:11" x14ac:dyDescent="0.35">
      <c r="B66" t="s">
        <v>158</v>
      </c>
      <c r="C66" t="str">
        <f>Meta!B19</f>
        <v>Verschuldungsgrad</v>
      </c>
    </row>
    <row r="67" spans="2:11" x14ac:dyDescent="0.35">
      <c r="B67" t="s">
        <v>158</v>
      </c>
      <c r="C67" t="str">
        <f>Meta!B20</f>
        <v>Eigenkapital absolut (&gt;&lt;0)</v>
      </c>
    </row>
    <row r="68" spans="2:11" x14ac:dyDescent="0.35">
      <c r="C68" s="21" t="str">
        <f>Meta!B21</f>
        <v>Working Capital</v>
      </c>
      <c r="D68" s="23"/>
      <c r="E68" s="23"/>
      <c r="F68" s="23"/>
      <c r="G68" s="23"/>
      <c r="H68" s="23"/>
      <c r="I68" s="23"/>
      <c r="J68" s="23"/>
      <c r="K68" s="23"/>
    </row>
    <row r="69" spans="2:11" x14ac:dyDescent="0.35">
      <c r="B69" t="s">
        <v>158</v>
      </c>
      <c r="C69" t="str">
        <f>Meta!B22</f>
        <v xml:space="preserve">Cash Conversion Cycle </v>
      </c>
    </row>
    <row r="70" spans="2:11" x14ac:dyDescent="0.35">
      <c r="B70" t="s">
        <v>158</v>
      </c>
      <c r="C70" t="str">
        <f>Meta!B23</f>
        <v>Days Sales Outstanding (Debitorenreichweite)</v>
      </c>
    </row>
    <row r="71" spans="2:11" x14ac:dyDescent="0.35">
      <c r="B71" t="s">
        <v>158</v>
      </c>
      <c r="C71" t="str">
        <f>Meta!B24</f>
        <v>Days Payables Outstanding (Kreditorenreichweite)</v>
      </c>
    </row>
    <row r="72" spans="2:11" x14ac:dyDescent="0.35">
      <c r="B72" t="s">
        <v>158</v>
      </c>
      <c r="C72" t="str">
        <f>Meta!B25</f>
        <v>Days Inventory Outstanding (Lagerreichweite)</v>
      </c>
    </row>
    <row r="73" spans="2:11" x14ac:dyDescent="0.35">
      <c r="C73" s="21" t="str">
        <f>Meta!B26</f>
        <v>Liquidität</v>
      </c>
      <c r="D73" s="23"/>
      <c r="E73" s="23"/>
      <c r="F73" s="23"/>
      <c r="G73" s="23"/>
      <c r="H73" s="23"/>
      <c r="I73" s="23"/>
      <c r="J73" s="23"/>
      <c r="K73" s="23"/>
    </row>
    <row r="74" spans="2:11" x14ac:dyDescent="0.35">
      <c r="B74" t="s">
        <v>158</v>
      </c>
      <c r="C74" t="str">
        <f>Meta!B27</f>
        <v>Cash Ratio</v>
      </c>
    </row>
    <row r="75" spans="2:11" x14ac:dyDescent="0.35">
      <c r="B75" t="s">
        <v>158</v>
      </c>
      <c r="C75" t="str">
        <f>Meta!B28</f>
        <v>Quick Ratio</v>
      </c>
    </row>
    <row r="76" spans="2:11" x14ac:dyDescent="0.35">
      <c r="B76" t="s">
        <v>158</v>
      </c>
      <c r="C76" t="str">
        <f>Meta!B29</f>
        <v>Cash Conversion</v>
      </c>
    </row>
    <row r="77" spans="2:11" x14ac:dyDescent="0.35">
      <c r="B77" t="s">
        <v>158</v>
      </c>
      <c r="C77" t="str">
        <f>Meta!B30</f>
        <v>Net Working Capital-Intensität</v>
      </c>
    </row>
    <row r="78" spans="2:11" x14ac:dyDescent="0.35">
      <c r="B78" t="s">
        <v>158</v>
      </c>
      <c r="C78" t="str">
        <f>Meta!B31</f>
        <v>Operativer Cash Flow</v>
      </c>
    </row>
    <row r="79" spans="2:11" x14ac:dyDescent="0.35">
      <c r="B79" t="s">
        <v>158</v>
      </c>
      <c r="C79" t="str">
        <f>Meta!B32</f>
        <v>Free Cash Flow</v>
      </c>
    </row>
    <row r="80" spans="2:11" x14ac:dyDescent="0.35">
      <c r="B80" t="s">
        <v>158</v>
      </c>
      <c r="C80" t="str">
        <f>Meta!B33</f>
        <v>Net Cash Flow</v>
      </c>
    </row>
    <row r="81" spans="2:11" x14ac:dyDescent="0.35">
      <c r="C81" s="21" t="str">
        <f>Meta!B34</f>
        <v>Finanzierungssituation</v>
      </c>
      <c r="D81" s="23"/>
      <c r="E81" s="23"/>
      <c r="F81" s="23"/>
      <c r="G81" s="23"/>
      <c r="H81" s="23"/>
      <c r="I81" s="23"/>
      <c r="J81" s="23"/>
      <c r="K81" s="23"/>
    </row>
    <row r="82" spans="2:11" x14ac:dyDescent="0.35">
      <c r="B82" t="s">
        <v>158</v>
      </c>
      <c r="C82" t="str">
        <f>Meta!B35</f>
        <v>Covenant Compliance in den letzten 12 Monaten</v>
      </c>
    </row>
    <row r="83" spans="2:11" x14ac:dyDescent="0.35">
      <c r="B83" t="s">
        <v>158</v>
      </c>
      <c r="C83" t="str">
        <f>Meta!B36</f>
        <v>(Materielle) Waiver-Anträge in den letzten 12 Monaten?</v>
      </c>
    </row>
    <row r="84" spans="2:11" x14ac:dyDescent="0.35">
      <c r="B84" t="s">
        <v>158</v>
      </c>
      <c r="C84" t="str">
        <f>Meta!B37</f>
        <v>Prolongationen in den nächsten 12 Monaten</v>
      </c>
    </row>
    <row r="85" spans="2:11" x14ac:dyDescent="0.35">
      <c r="B85" t="s">
        <v>158</v>
      </c>
      <c r="C85" t="str">
        <f>Meta!B38</f>
        <v>Refinanzierungen in den nächsten 12 Monaten</v>
      </c>
    </row>
    <row r="86" spans="2:11" x14ac:dyDescent="0.35">
      <c r="B86" t="s">
        <v>158</v>
      </c>
      <c r="C86" t="str">
        <f>Meta!B39</f>
        <v>Intensivkreditbetreuung einer Bank involviert?</v>
      </c>
    </row>
    <row r="87" spans="2:11" x14ac:dyDescent="0.35">
      <c r="B87" t="s">
        <v>158</v>
      </c>
      <c r="C87" t="str">
        <f>Meta!B40</f>
        <v>Netto-Verschuldungsgrad</v>
      </c>
    </row>
    <row r="88" spans="2:11" x14ac:dyDescent="0.35">
      <c r="B88" t="s">
        <v>158</v>
      </c>
      <c r="C88" t="str">
        <f>Meta!B41</f>
        <v>Integrierte Unternehmensplanung</v>
      </c>
    </row>
    <row r="89" spans="2:11" x14ac:dyDescent="0.35">
      <c r="B89" t="s">
        <v>158</v>
      </c>
      <c r="C89" t="str">
        <f>Meta!B42</f>
        <v>Planung für die nächsten mind. 2 Geschäftsjahre</v>
      </c>
    </row>
    <row r="90" spans="2:11" x14ac:dyDescent="0.35">
      <c r="B90" t="s">
        <v>158</v>
      </c>
      <c r="C90" t="str">
        <f>Meta!B43</f>
        <v>Planung erfolgt auf Monatsbasis?</v>
      </c>
    </row>
    <row r="91" spans="2:11" x14ac:dyDescent="0.35">
      <c r="B91" t="s">
        <v>158</v>
      </c>
      <c r="C91" t="str">
        <f>Meta!B49</f>
        <v>Produktspektrum</v>
      </c>
    </row>
    <row r="92" spans="2:11" x14ac:dyDescent="0.35">
      <c r="B92" t="s">
        <v>158</v>
      </c>
      <c r="C92" t="str">
        <f>Meta!B50</f>
        <v>Geographische Märkte</v>
      </c>
    </row>
    <row r="93" spans="2:11" x14ac:dyDescent="0.35">
      <c r="B93" t="s">
        <v>158</v>
      </c>
      <c r="C93" t="str">
        <f>Meta!B51</f>
        <v>Produktqualität</v>
      </c>
    </row>
    <row r="94" spans="2:11" x14ac:dyDescent="0.35">
      <c r="B94" t="s">
        <v>158</v>
      </c>
      <c r="C94" t="str">
        <f>Meta!B54</f>
        <v>Umsatz mit Top 5 Kunden</v>
      </c>
    </row>
    <row r="95" spans="2:11" x14ac:dyDescent="0.35">
      <c r="B95" t="s">
        <v>158</v>
      </c>
      <c r="C95" t="str">
        <f>Meta!B55</f>
        <v>Volumen mit Top 5 Lieferanten</v>
      </c>
    </row>
    <row r="99" spans="2:11" x14ac:dyDescent="0.35">
      <c r="B99" s="5" t="s">
        <v>56</v>
      </c>
      <c r="C99" s="5" t="s">
        <v>126</v>
      </c>
      <c r="D99" s="5">
        <v>5</v>
      </c>
      <c r="E99" s="5">
        <v>4</v>
      </c>
      <c r="F99" s="5"/>
      <c r="G99" s="5">
        <v>3</v>
      </c>
      <c r="H99" s="5"/>
      <c r="I99" s="5">
        <v>2</v>
      </c>
      <c r="J99" s="5"/>
      <c r="K99" s="5">
        <v>1</v>
      </c>
    </row>
    <row r="100" spans="2:11" x14ac:dyDescent="0.35">
      <c r="C100" s="21" t="s">
        <v>151</v>
      </c>
      <c r="D100" s="23"/>
      <c r="E100" s="23"/>
      <c r="F100" s="23"/>
      <c r="G100" s="23"/>
      <c r="H100" s="23"/>
      <c r="I100" s="23"/>
      <c r="J100" s="23"/>
      <c r="K100" s="23"/>
    </row>
    <row r="101" spans="2:11" x14ac:dyDescent="0.35">
      <c r="B101" t="s">
        <v>157</v>
      </c>
      <c r="C101" t="str">
        <f>Meta!B8</f>
        <v>Umsatzwachstum</v>
      </c>
      <c r="D101" s="17">
        <f>D55+1%</f>
        <v>7.9999999999999988E-2</v>
      </c>
      <c r="E101" s="17">
        <f>E55+1%</f>
        <v>7.9899999999999999E-2</v>
      </c>
      <c r="F101" s="17"/>
      <c r="G101" s="17">
        <f>G55+1%</f>
        <v>5.9900000000000002E-2</v>
      </c>
      <c r="H101" s="17"/>
      <c r="I101" s="17">
        <f>I55+1%</f>
        <v>4.9900000000000007E-2</v>
      </c>
      <c r="J101" s="17"/>
      <c r="K101" s="17">
        <f>K55+1%</f>
        <v>2.9900000000000003E-2</v>
      </c>
    </row>
    <row r="102" spans="2:11" x14ac:dyDescent="0.35">
      <c r="B102" t="s">
        <v>157</v>
      </c>
      <c r="C102" t="str">
        <f>Meta!B9</f>
        <v xml:space="preserve">Rohertragsmarge-Marge </v>
      </c>
    </row>
    <row r="103" spans="2:11" x14ac:dyDescent="0.35">
      <c r="B103" t="s">
        <v>157</v>
      </c>
      <c r="C103" t="e">
        <f>Meta!#REF!</f>
        <v>#REF!</v>
      </c>
    </row>
    <row r="104" spans="2:11" x14ac:dyDescent="0.35">
      <c r="B104" t="s">
        <v>157</v>
      </c>
      <c r="C104" t="str">
        <f>Meta!B11</f>
        <v xml:space="preserve">EBIT-Marge </v>
      </c>
    </row>
    <row r="105" spans="2:11" x14ac:dyDescent="0.35">
      <c r="B105" t="s">
        <v>157</v>
      </c>
      <c r="C105" t="str">
        <f>Meta!B12</f>
        <v xml:space="preserve">EAT-Marge </v>
      </c>
    </row>
    <row r="106" spans="2:11" x14ac:dyDescent="0.35">
      <c r="B106" t="s">
        <v>157</v>
      </c>
      <c r="C106" t="str">
        <f>Meta!B13</f>
        <v>Return on Net Assets (RoNA)</v>
      </c>
    </row>
    <row r="107" spans="2:11" x14ac:dyDescent="0.35">
      <c r="B107" t="s">
        <v>157</v>
      </c>
      <c r="C107" t="e">
        <f>Meta!#REF!</f>
        <v>#REF!</v>
      </c>
    </row>
    <row r="108" spans="2:11" x14ac:dyDescent="0.35">
      <c r="B108" t="s">
        <v>157</v>
      </c>
      <c r="C108" t="str">
        <f>Meta!B15</f>
        <v xml:space="preserve">Return on Equity (ROE) </v>
      </c>
    </row>
    <row r="109" spans="2:11" x14ac:dyDescent="0.35">
      <c r="C109" s="21" t="str">
        <f>Meta!B16</f>
        <v>Bilanz</v>
      </c>
      <c r="D109" s="23"/>
      <c r="E109" s="23"/>
      <c r="F109" s="23"/>
      <c r="G109" s="23"/>
      <c r="H109" s="23"/>
      <c r="I109" s="23"/>
      <c r="J109" s="23"/>
      <c r="K109" s="23"/>
    </row>
    <row r="110" spans="2:11" x14ac:dyDescent="0.35">
      <c r="B110" t="s">
        <v>157</v>
      </c>
      <c r="C110" t="str">
        <f>Meta!B17</f>
        <v>Eigenkapital-Quote</v>
      </c>
    </row>
    <row r="111" spans="2:11" x14ac:dyDescent="0.35">
      <c r="B111" t="s">
        <v>157</v>
      </c>
      <c r="C111" t="e">
        <f>Meta!#REF!</f>
        <v>#REF!</v>
      </c>
    </row>
    <row r="112" spans="2:11" x14ac:dyDescent="0.35">
      <c r="B112" t="s">
        <v>157</v>
      </c>
      <c r="C112" t="str">
        <f>Meta!B19</f>
        <v>Verschuldungsgrad</v>
      </c>
    </row>
    <row r="113" spans="2:11" x14ac:dyDescent="0.35">
      <c r="B113" t="s">
        <v>157</v>
      </c>
      <c r="C113" t="str">
        <f>Meta!B20</f>
        <v>Eigenkapital absolut (&gt;&lt;0)</v>
      </c>
    </row>
    <row r="114" spans="2:11" x14ac:dyDescent="0.35">
      <c r="C114" s="21" t="str">
        <f>Meta!B21</f>
        <v>Working Capital</v>
      </c>
      <c r="D114" s="23"/>
      <c r="E114" s="23"/>
      <c r="F114" s="23"/>
      <c r="G114" s="23"/>
      <c r="H114" s="23"/>
      <c r="I114" s="23"/>
      <c r="J114" s="23"/>
      <c r="K114" s="23"/>
    </row>
    <row r="115" spans="2:11" x14ac:dyDescent="0.35">
      <c r="B115" t="s">
        <v>157</v>
      </c>
      <c r="C115" t="str">
        <f>Meta!B22</f>
        <v xml:space="preserve">Cash Conversion Cycle </v>
      </c>
    </row>
    <row r="116" spans="2:11" x14ac:dyDescent="0.35">
      <c r="B116" t="s">
        <v>157</v>
      </c>
      <c r="C116" t="str">
        <f>Meta!B23</f>
        <v>Days Sales Outstanding (Debitorenreichweite)</v>
      </c>
    </row>
    <row r="117" spans="2:11" x14ac:dyDescent="0.35">
      <c r="B117" t="s">
        <v>157</v>
      </c>
      <c r="C117" t="str">
        <f>Meta!B24</f>
        <v>Days Payables Outstanding (Kreditorenreichweite)</v>
      </c>
    </row>
    <row r="118" spans="2:11" x14ac:dyDescent="0.35">
      <c r="B118" t="s">
        <v>157</v>
      </c>
      <c r="C118" t="str">
        <f>Meta!B25</f>
        <v>Days Inventory Outstanding (Lagerreichweite)</v>
      </c>
    </row>
    <row r="119" spans="2:11" x14ac:dyDescent="0.35">
      <c r="C119" s="21" t="str">
        <f>Meta!B26</f>
        <v>Liquidität</v>
      </c>
      <c r="D119" s="23"/>
      <c r="E119" s="23"/>
      <c r="F119" s="23"/>
      <c r="G119" s="23"/>
      <c r="H119" s="23"/>
      <c r="I119" s="23"/>
      <c r="J119" s="23"/>
      <c r="K119" s="23"/>
    </row>
    <row r="120" spans="2:11" x14ac:dyDescent="0.35">
      <c r="B120" t="s">
        <v>157</v>
      </c>
      <c r="C120" t="str">
        <f>Meta!B27</f>
        <v>Cash Ratio</v>
      </c>
    </row>
    <row r="121" spans="2:11" x14ac:dyDescent="0.35">
      <c r="B121" t="s">
        <v>157</v>
      </c>
      <c r="C121" t="str">
        <f>Meta!B28</f>
        <v>Quick Ratio</v>
      </c>
    </row>
    <row r="122" spans="2:11" x14ac:dyDescent="0.35">
      <c r="B122" t="s">
        <v>157</v>
      </c>
      <c r="C122" t="str">
        <f>Meta!B29</f>
        <v>Cash Conversion</v>
      </c>
    </row>
    <row r="123" spans="2:11" x14ac:dyDescent="0.35">
      <c r="B123" t="s">
        <v>157</v>
      </c>
      <c r="C123" t="str">
        <f>Meta!B30</f>
        <v>Net Working Capital-Intensität</v>
      </c>
    </row>
    <row r="124" spans="2:11" x14ac:dyDescent="0.35">
      <c r="B124" t="s">
        <v>157</v>
      </c>
      <c r="C124" t="str">
        <f>Meta!B31</f>
        <v>Operativer Cash Flow</v>
      </c>
    </row>
    <row r="125" spans="2:11" x14ac:dyDescent="0.35">
      <c r="B125" t="s">
        <v>157</v>
      </c>
      <c r="C125" t="str">
        <f>Meta!B32</f>
        <v>Free Cash Flow</v>
      </c>
    </row>
    <row r="126" spans="2:11" x14ac:dyDescent="0.35">
      <c r="B126" t="s">
        <v>157</v>
      </c>
      <c r="C126" t="str">
        <f>Meta!B33</f>
        <v>Net Cash Flow</v>
      </c>
    </row>
    <row r="127" spans="2:11" x14ac:dyDescent="0.35">
      <c r="C127" s="21" t="str">
        <f>Meta!B34</f>
        <v>Finanzierungssituation</v>
      </c>
      <c r="D127" s="23"/>
      <c r="E127" s="23"/>
      <c r="F127" s="23"/>
      <c r="G127" s="23"/>
      <c r="H127" s="23"/>
      <c r="I127" s="23"/>
      <c r="J127" s="23"/>
      <c r="K127" s="23"/>
    </row>
    <row r="128" spans="2:11" x14ac:dyDescent="0.35">
      <c r="B128" t="s">
        <v>157</v>
      </c>
      <c r="C128" t="str">
        <f>Meta!B35</f>
        <v>Covenant Compliance in den letzten 12 Monaten</v>
      </c>
    </row>
    <row r="129" spans="2:11" x14ac:dyDescent="0.35">
      <c r="B129" t="s">
        <v>157</v>
      </c>
      <c r="C129" t="str">
        <f>Meta!B36</f>
        <v>(Materielle) Waiver-Anträge in den letzten 12 Monaten?</v>
      </c>
    </row>
    <row r="130" spans="2:11" x14ac:dyDescent="0.35">
      <c r="B130" t="s">
        <v>157</v>
      </c>
      <c r="C130" t="str">
        <f>Meta!B37</f>
        <v>Prolongationen in den nächsten 12 Monaten</v>
      </c>
    </row>
    <row r="131" spans="2:11" x14ac:dyDescent="0.35">
      <c r="B131" t="s">
        <v>157</v>
      </c>
      <c r="C131" t="str">
        <f>Meta!B38</f>
        <v>Refinanzierungen in den nächsten 12 Monaten</v>
      </c>
    </row>
    <row r="132" spans="2:11" x14ac:dyDescent="0.35">
      <c r="B132" t="s">
        <v>157</v>
      </c>
      <c r="C132" t="str">
        <f>Meta!B39</f>
        <v>Intensivkreditbetreuung einer Bank involviert?</v>
      </c>
    </row>
    <row r="133" spans="2:11" x14ac:dyDescent="0.35">
      <c r="B133" t="s">
        <v>157</v>
      </c>
      <c r="C133" t="str">
        <f>Meta!B40</f>
        <v>Netto-Verschuldungsgrad</v>
      </c>
    </row>
    <row r="134" spans="2:11" x14ac:dyDescent="0.35">
      <c r="B134" t="s">
        <v>157</v>
      </c>
      <c r="C134" t="str">
        <f>Meta!B41</f>
        <v>Integrierte Unternehmensplanung</v>
      </c>
    </row>
    <row r="135" spans="2:11" x14ac:dyDescent="0.35">
      <c r="B135" t="s">
        <v>157</v>
      </c>
      <c r="C135" t="str">
        <f>Meta!B42</f>
        <v>Planung für die nächsten mind. 2 Geschäftsjahre</v>
      </c>
    </row>
    <row r="136" spans="2:11" x14ac:dyDescent="0.35">
      <c r="B136" t="s">
        <v>157</v>
      </c>
      <c r="C136" t="str">
        <f>Meta!B43</f>
        <v>Planung erfolgt auf Monatsbasis?</v>
      </c>
    </row>
    <row r="137" spans="2:11" x14ac:dyDescent="0.35">
      <c r="B137" t="s">
        <v>157</v>
      </c>
      <c r="C137" t="str">
        <f>Meta!B44</f>
        <v>Interest Coverage Ratio</v>
      </c>
    </row>
    <row r="138" spans="2:11" x14ac:dyDescent="0.35">
      <c r="C138" s="21" t="str">
        <f>Meta!B45</f>
        <v>Qualitative Faktoren</v>
      </c>
      <c r="D138" s="23"/>
      <c r="E138" s="23"/>
      <c r="F138" s="23"/>
      <c r="G138" s="23"/>
      <c r="H138" s="23"/>
      <c r="I138" s="23"/>
      <c r="J138" s="23"/>
      <c r="K138" s="23"/>
    </row>
    <row r="139" spans="2:11" x14ac:dyDescent="0.35">
      <c r="B139" t="s">
        <v>157</v>
      </c>
      <c r="C139" t="str">
        <f>Meta!B46</f>
        <v>1. Führungsebene</v>
      </c>
    </row>
    <row r="140" spans="2:11" x14ac:dyDescent="0.35">
      <c r="B140" t="s">
        <v>157</v>
      </c>
      <c r="C140" t="str">
        <f>Meta!B47</f>
        <v>2. Führungsebene</v>
      </c>
    </row>
    <row r="141" spans="2:11" x14ac:dyDescent="0.35">
      <c r="B141" t="s">
        <v>157</v>
      </c>
      <c r="C141" t="str">
        <f>Meta!B48</f>
        <v>Preis</v>
      </c>
    </row>
    <row r="142" spans="2:11" x14ac:dyDescent="0.35">
      <c r="B142" t="s">
        <v>157</v>
      </c>
      <c r="C142" t="str">
        <f>Meta!B49</f>
        <v>Produktspektrum</v>
      </c>
    </row>
    <row r="143" spans="2:11" x14ac:dyDescent="0.35">
      <c r="B143" t="s">
        <v>157</v>
      </c>
      <c r="C143" t="str">
        <f>Meta!B50</f>
        <v>Geographische Märkte</v>
      </c>
    </row>
    <row r="144" spans="2:11" x14ac:dyDescent="0.35">
      <c r="B144" t="s">
        <v>157</v>
      </c>
      <c r="C144" t="str">
        <f>Meta!B51</f>
        <v>Produktqualität</v>
      </c>
    </row>
    <row r="145" spans="2:3" x14ac:dyDescent="0.35">
      <c r="B145" t="s">
        <v>157</v>
      </c>
      <c r="C145" t="str">
        <f>Meta!B54</f>
        <v>Umsatz mit Top 5 Kunden</v>
      </c>
    </row>
    <row r="146" spans="2:3" x14ac:dyDescent="0.35">
      <c r="B146" t="s">
        <v>157</v>
      </c>
      <c r="C146" t="str">
        <f>Meta!B55</f>
        <v>Volumen mit Top 5 Lieferanten</v>
      </c>
    </row>
  </sheetData>
  <mergeCells count="3">
    <mergeCell ref="E4:F4"/>
    <mergeCell ref="G4:H4"/>
    <mergeCell ref="I4:J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3</vt:i4>
      </vt:variant>
    </vt:vector>
  </HeadingPairs>
  <TitlesOfParts>
    <vt:vector size="14" baseType="lpstr">
      <vt:lpstr>Topics</vt:lpstr>
      <vt:lpstr>Anleitung</vt:lpstr>
      <vt:lpstr>Ergebnis Health-Check</vt:lpstr>
      <vt:lpstr>Eingabe &gt;</vt:lpstr>
      <vt:lpstr>Allgemeine Angaben</vt:lpstr>
      <vt:lpstr>Eingabe Werte</vt:lpstr>
      <vt:lpstr>Relevanz-Gewichtung-Parameter</vt:lpstr>
      <vt:lpstr>Gewichtung</vt:lpstr>
      <vt:lpstr>Branchen</vt:lpstr>
      <vt:lpstr>Meta</vt:lpstr>
      <vt:lpstr>Liste</vt:lpstr>
      <vt:lpstr>'Allgemeine Angaben'!Print_Area</vt:lpstr>
      <vt:lpstr>Anleitung!Print_Area</vt:lpstr>
      <vt:lpstr>'Ergebnis Health-Check'!Print_Area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Johannes Dachlauer</dc:creator>
  <cp:lastModifiedBy>Karl Pitz</cp:lastModifiedBy>
  <dcterms:created xsi:type="dcterms:W3CDTF">2025-07-16T06:07:44Z</dcterms:created>
  <dcterms:modified xsi:type="dcterms:W3CDTF">2025-10-15T14:29:47Z</dcterms:modified>
</cp:coreProperties>
</file>